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共有フォルダ\使用計画書\Ｒ９年\事前準備\大会\最新\"/>
    </mc:Choice>
  </mc:AlternateContent>
  <xr:revisionPtr revIDLastSave="0" documentId="13_ncr:1_{CAB9C7DE-57F9-4467-9EBA-C17743A3A3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9年度" sheetId="1" r:id="rId1"/>
    <sheet name="祝日マスター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2" i="1" l="1"/>
  <c r="V42" i="1"/>
  <c r="U42" i="1"/>
  <c r="T42" i="1"/>
  <c r="S42" i="1"/>
  <c r="R42" i="1"/>
  <c r="Q42" i="1"/>
  <c r="O42" i="1"/>
  <c r="N42" i="1"/>
  <c r="M42" i="1"/>
  <c r="L42" i="1"/>
  <c r="K42" i="1"/>
  <c r="J42" i="1"/>
  <c r="I42" i="1"/>
  <c r="G42" i="1"/>
  <c r="F42" i="1"/>
  <c r="E42" i="1"/>
  <c r="D42" i="1"/>
  <c r="C42" i="1"/>
  <c r="B42" i="1"/>
  <c r="A42" i="1"/>
  <c r="W41" i="1"/>
  <c r="V41" i="1"/>
  <c r="U41" i="1"/>
  <c r="T41" i="1"/>
  <c r="S41" i="1"/>
  <c r="R41" i="1"/>
  <c r="Q41" i="1"/>
  <c r="O41" i="1"/>
  <c r="N41" i="1"/>
  <c r="M41" i="1"/>
  <c r="L41" i="1"/>
  <c r="K41" i="1"/>
  <c r="J41" i="1"/>
  <c r="I41" i="1"/>
  <c r="G41" i="1"/>
  <c r="F41" i="1"/>
  <c r="E41" i="1"/>
  <c r="D41" i="1"/>
  <c r="C41" i="1"/>
  <c r="B41" i="1"/>
  <c r="A41" i="1"/>
  <c r="W40" i="1"/>
  <c r="V40" i="1"/>
  <c r="U40" i="1"/>
  <c r="T40" i="1"/>
  <c r="S40" i="1"/>
  <c r="R40" i="1"/>
  <c r="Q40" i="1"/>
  <c r="O40" i="1"/>
  <c r="N40" i="1"/>
  <c r="M40" i="1"/>
  <c r="L40" i="1"/>
  <c r="K40" i="1"/>
  <c r="J40" i="1"/>
  <c r="I40" i="1"/>
  <c r="G40" i="1"/>
  <c r="F40" i="1"/>
  <c r="E40" i="1"/>
  <c r="D40" i="1"/>
  <c r="C40" i="1"/>
  <c r="B40" i="1"/>
  <c r="A40" i="1"/>
  <c r="W39" i="1"/>
  <c r="V39" i="1"/>
  <c r="U39" i="1"/>
  <c r="T39" i="1"/>
  <c r="S39" i="1"/>
  <c r="R39" i="1"/>
  <c r="Q39" i="1"/>
  <c r="O39" i="1"/>
  <c r="N39" i="1"/>
  <c r="M39" i="1"/>
  <c r="L39" i="1"/>
  <c r="K39" i="1"/>
  <c r="J39" i="1"/>
  <c r="I39" i="1"/>
  <c r="G39" i="1"/>
  <c r="F39" i="1"/>
  <c r="E39" i="1"/>
  <c r="D39" i="1"/>
  <c r="C39" i="1"/>
  <c r="B39" i="1"/>
  <c r="A39" i="1"/>
  <c r="W38" i="1"/>
  <c r="V38" i="1"/>
  <c r="U38" i="1"/>
  <c r="T38" i="1"/>
  <c r="S38" i="1"/>
  <c r="R38" i="1"/>
  <c r="Q38" i="1"/>
  <c r="O38" i="1"/>
  <c r="N38" i="1"/>
  <c r="M38" i="1"/>
  <c r="L38" i="1"/>
  <c r="K38" i="1"/>
  <c r="J38" i="1"/>
  <c r="I38" i="1"/>
  <c r="G38" i="1"/>
  <c r="F38" i="1"/>
  <c r="E38" i="1"/>
  <c r="D38" i="1"/>
  <c r="C38" i="1"/>
  <c r="B38" i="1"/>
  <c r="A38" i="1"/>
  <c r="W37" i="1"/>
  <c r="V37" i="1"/>
  <c r="U37" i="1"/>
  <c r="T37" i="1"/>
  <c r="S37" i="1"/>
  <c r="R37" i="1"/>
  <c r="Q37" i="1"/>
  <c r="O37" i="1"/>
  <c r="N37" i="1"/>
  <c r="M37" i="1"/>
  <c r="L37" i="1"/>
  <c r="K37" i="1"/>
  <c r="J37" i="1"/>
  <c r="I37" i="1"/>
  <c r="G37" i="1"/>
  <c r="F37" i="1"/>
  <c r="E37" i="1"/>
  <c r="D37" i="1"/>
  <c r="C37" i="1"/>
  <c r="B37" i="1"/>
  <c r="A37" i="1"/>
  <c r="Q34" i="1"/>
  <c r="I34" i="1"/>
  <c r="A34" i="1"/>
  <c r="W32" i="1"/>
  <c r="V32" i="1"/>
  <c r="U32" i="1"/>
  <c r="T32" i="1"/>
  <c r="S32" i="1"/>
  <c r="R32" i="1"/>
  <c r="Q32" i="1"/>
  <c r="O32" i="1"/>
  <c r="N32" i="1"/>
  <c r="M32" i="1"/>
  <c r="L32" i="1"/>
  <c r="K32" i="1"/>
  <c r="J32" i="1"/>
  <c r="I32" i="1"/>
  <c r="G32" i="1"/>
  <c r="F32" i="1"/>
  <c r="E32" i="1"/>
  <c r="D32" i="1"/>
  <c r="C32" i="1"/>
  <c r="B32" i="1"/>
  <c r="A32" i="1"/>
  <c r="W31" i="1"/>
  <c r="V31" i="1"/>
  <c r="U31" i="1"/>
  <c r="T31" i="1"/>
  <c r="S31" i="1"/>
  <c r="R31" i="1"/>
  <c r="Q31" i="1"/>
  <c r="O31" i="1"/>
  <c r="N31" i="1"/>
  <c r="M31" i="1"/>
  <c r="L31" i="1"/>
  <c r="K31" i="1"/>
  <c r="J31" i="1"/>
  <c r="I31" i="1"/>
  <c r="G31" i="1"/>
  <c r="F31" i="1"/>
  <c r="E31" i="1"/>
  <c r="D31" i="1"/>
  <c r="C31" i="1"/>
  <c r="B31" i="1"/>
  <c r="A31" i="1"/>
  <c r="W30" i="1"/>
  <c r="V30" i="1"/>
  <c r="U30" i="1"/>
  <c r="T30" i="1"/>
  <c r="S30" i="1"/>
  <c r="R30" i="1"/>
  <c r="Q30" i="1"/>
  <c r="O30" i="1"/>
  <c r="N30" i="1"/>
  <c r="M30" i="1"/>
  <c r="L30" i="1"/>
  <c r="K30" i="1"/>
  <c r="J30" i="1"/>
  <c r="I30" i="1"/>
  <c r="G30" i="1"/>
  <c r="F30" i="1"/>
  <c r="E30" i="1"/>
  <c r="D30" i="1"/>
  <c r="C30" i="1"/>
  <c r="B30" i="1"/>
  <c r="A30" i="1"/>
  <c r="W29" i="1"/>
  <c r="V29" i="1"/>
  <c r="U29" i="1"/>
  <c r="T29" i="1"/>
  <c r="S29" i="1"/>
  <c r="R29" i="1"/>
  <c r="Q29" i="1"/>
  <c r="O29" i="1"/>
  <c r="N29" i="1"/>
  <c r="M29" i="1"/>
  <c r="L29" i="1"/>
  <c r="K29" i="1"/>
  <c r="J29" i="1"/>
  <c r="I29" i="1"/>
  <c r="G29" i="1"/>
  <c r="F29" i="1"/>
  <c r="E29" i="1"/>
  <c r="D29" i="1"/>
  <c r="C29" i="1"/>
  <c r="B29" i="1"/>
  <c r="A29" i="1"/>
  <c r="W28" i="1"/>
  <c r="V28" i="1"/>
  <c r="U28" i="1"/>
  <c r="T28" i="1"/>
  <c r="S28" i="1"/>
  <c r="R28" i="1"/>
  <c r="Q28" i="1"/>
  <c r="O28" i="1"/>
  <c r="N28" i="1"/>
  <c r="M28" i="1"/>
  <c r="L28" i="1"/>
  <c r="K28" i="1"/>
  <c r="J28" i="1"/>
  <c r="I28" i="1"/>
  <c r="G28" i="1"/>
  <c r="F28" i="1"/>
  <c r="E28" i="1"/>
  <c r="D28" i="1"/>
  <c r="C28" i="1"/>
  <c r="B28" i="1"/>
  <c r="A28" i="1"/>
  <c r="W27" i="1"/>
  <c r="V27" i="1"/>
  <c r="U27" i="1"/>
  <c r="T27" i="1"/>
  <c r="S27" i="1"/>
  <c r="R27" i="1"/>
  <c r="Q27" i="1"/>
  <c r="O27" i="1"/>
  <c r="N27" i="1"/>
  <c r="M27" i="1"/>
  <c r="L27" i="1"/>
  <c r="K27" i="1"/>
  <c r="J27" i="1"/>
  <c r="I27" i="1"/>
  <c r="G27" i="1"/>
  <c r="F27" i="1"/>
  <c r="E27" i="1"/>
  <c r="D27" i="1"/>
  <c r="C27" i="1"/>
  <c r="B27" i="1"/>
  <c r="A27" i="1"/>
  <c r="S24" i="1"/>
  <c r="Q24" i="1"/>
  <c r="K24" i="1"/>
  <c r="I24" i="1"/>
  <c r="C24" i="1"/>
  <c r="A24" i="1"/>
  <c r="W22" i="1"/>
  <c r="V22" i="1"/>
  <c r="U22" i="1"/>
  <c r="T22" i="1"/>
  <c r="S22" i="1"/>
  <c r="R22" i="1"/>
  <c r="Q22" i="1"/>
  <c r="O22" i="1"/>
  <c r="N22" i="1"/>
  <c r="M22" i="1"/>
  <c r="L22" i="1"/>
  <c r="K22" i="1"/>
  <c r="J22" i="1"/>
  <c r="I22" i="1"/>
  <c r="G22" i="1"/>
  <c r="F22" i="1"/>
  <c r="E22" i="1"/>
  <c r="D22" i="1"/>
  <c r="C22" i="1"/>
  <c r="B22" i="1"/>
  <c r="A22" i="1"/>
  <c r="W21" i="1"/>
  <c r="V21" i="1"/>
  <c r="U21" i="1"/>
  <c r="T21" i="1"/>
  <c r="S21" i="1"/>
  <c r="R21" i="1"/>
  <c r="Q21" i="1"/>
  <c r="O21" i="1"/>
  <c r="N21" i="1"/>
  <c r="M21" i="1"/>
  <c r="L21" i="1"/>
  <c r="K21" i="1"/>
  <c r="J21" i="1"/>
  <c r="I21" i="1"/>
  <c r="G21" i="1"/>
  <c r="F21" i="1"/>
  <c r="E21" i="1"/>
  <c r="D21" i="1"/>
  <c r="C21" i="1"/>
  <c r="B21" i="1"/>
  <c r="A21" i="1"/>
  <c r="W20" i="1"/>
  <c r="V20" i="1"/>
  <c r="U20" i="1"/>
  <c r="T20" i="1"/>
  <c r="S20" i="1"/>
  <c r="R20" i="1"/>
  <c r="Q20" i="1"/>
  <c r="O20" i="1"/>
  <c r="N20" i="1"/>
  <c r="M20" i="1"/>
  <c r="L20" i="1"/>
  <c r="K20" i="1"/>
  <c r="J20" i="1"/>
  <c r="I20" i="1"/>
  <c r="G20" i="1"/>
  <c r="F20" i="1"/>
  <c r="E20" i="1"/>
  <c r="D20" i="1"/>
  <c r="C20" i="1"/>
  <c r="B20" i="1"/>
  <c r="A20" i="1"/>
  <c r="W19" i="1"/>
  <c r="V19" i="1"/>
  <c r="U19" i="1"/>
  <c r="T19" i="1"/>
  <c r="S19" i="1"/>
  <c r="R19" i="1"/>
  <c r="Q19" i="1"/>
  <c r="O19" i="1"/>
  <c r="N19" i="1"/>
  <c r="M19" i="1"/>
  <c r="L19" i="1"/>
  <c r="K19" i="1"/>
  <c r="J19" i="1"/>
  <c r="I19" i="1"/>
  <c r="G19" i="1"/>
  <c r="F19" i="1"/>
  <c r="E19" i="1"/>
  <c r="D19" i="1"/>
  <c r="C19" i="1"/>
  <c r="B19" i="1"/>
  <c r="A19" i="1"/>
  <c r="W18" i="1"/>
  <c r="V18" i="1"/>
  <c r="U18" i="1"/>
  <c r="T18" i="1"/>
  <c r="S18" i="1"/>
  <c r="R18" i="1"/>
  <c r="Q18" i="1"/>
  <c r="O18" i="1"/>
  <c r="N18" i="1"/>
  <c r="M18" i="1"/>
  <c r="L18" i="1"/>
  <c r="K18" i="1"/>
  <c r="J18" i="1"/>
  <c r="I18" i="1"/>
  <c r="G18" i="1"/>
  <c r="F18" i="1"/>
  <c r="E18" i="1"/>
  <c r="D18" i="1"/>
  <c r="C18" i="1"/>
  <c r="B18" i="1"/>
  <c r="A18" i="1"/>
  <c r="W17" i="1"/>
  <c r="V17" i="1"/>
  <c r="U17" i="1"/>
  <c r="T17" i="1"/>
  <c r="S17" i="1"/>
  <c r="R17" i="1"/>
  <c r="Q17" i="1"/>
  <c r="O17" i="1"/>
  <c r="N17" i="1"/>
  <c r="M17" i="1"/>
  <c r="L17" i="1"/>
  <c r="K17" i="1"/>
  <c r="J17" i="1"/>
  <c r="I17" i="1"/>
  <c r="G17" i="1"/>
  <c r="F17" i="1"/>
  <c r="E17" i="1"/>
  <c r="D17" i="1"/>
  <c r="C17" i="1"/>
  <c r="B17" i="1"/>
  <c r="A17" i="1"/>
  <c r="Q14" i="1"/>
  <c r="I14" i="1"/>
  <c r="A14" i="1"/>
  <c r="W12" i="1"/>
  <c r="V12" i="1"/>
  <c r="U12" i="1"/>
  <c r="T12" i="1"/>
  <c r="S12" i="1"/>
  <c r="R12" i="1"/>
  <c r="Q12" i="1"/>
  <c r="O12" i="1"/>
  <c r="N12" i="1"/>
  <c r="M12" i="1"/>
  <c r="L12" i="1"/>
  <c r="K12" i="1"/>
  <c r="J12" i="1"/>
  <c r="I12" i="1"/>
  <c r="G12" i="1"/>
  <c r="F12" i="1"/>
  <c r="E12" i="1"/>
  <c r="D12" i="1"/>
  <c r="C12" i="1"/>
  <c r="B12" i="1"/>
  <c r="A12" i="1"/>
  <c r="W11" i="1"/>
  <c r="V11" i="1"/>
  <c r="U11" i="1"/>
  <c r="T11" i="1"/>
  <c r="S11" i="1"/>
  <c r="R11" i="1"/>
  <c r="Q11" i="1"/>
  <c r="O11" i="1"/>
  <c r="N11" i="1"/>
  <c r="M11" i="1"/>
  <c r="L11" i="1"/>
  <c r="K11" i="1"/>
  <c r="J11" i="1"/>
  <c r="I11" i="1"/>
  <c r="G11" i="1"/>
  <c r="F11" i="1"/>
  <c r="E11" i="1"/>
  <c r="D11" i="1"/>
  <c r="C11" i="1"/>
  <c r="B11" i="1"/>
  <c r="A11" i="1"/>
  <c r="W10" i="1"/>
  <c r="V10" i="1"/>
  <c r="U10" i="1"/>
  <c r="T10" i="1"/>
  <c r="S10" i="1"/>
  <c r="R10" i="1"/>
  <c r="Q10" i="1"/>
  <c r="O10" i="1"/>
  <c r="N10" i="1"/>
  <c r="M10" i="1"/>
  <c r="L10" i="1"/>
  <c r="K10" i="1"/>
  <c r="J10" i="1"/>
  <c r="I10" i="1"/>
  <c r="G10" i="1"/>
  <c r="F10" i="1"/>
  <c r="E10" i="1"/>
  <c r="D10" i="1"/>
  <c r="C10" i="1"/>
  <c r="B10" i="1"/>
  <c r="A10" i="1"/>
  <c r="W9" i="1"/>
  <c r="V9" i="1"/>
  <c r="U9" i="1"/>
  <c r="T9" i="1"/>
  <c r="S9" i="1"/>
  <c r="R9" i="1"/>
  <c r="Q9" i="1"/>
  <c r="O9" i="1"/>
  <c r="N9" i="1"/>
  <c r="M9" i="1"/>
  <c r="L9" i="1"/>
  <c r="K9" i="1"/>
  <c r="J9" i="1"/>
  <c r="I9" i="1"/>
  <c r="G9" i="1"/>
  <c r="F9" i="1"/>
  <c r="E9" i="1"/>
  <c r="D9" i="1"/>
  <c r="C9" i="1"/>
  <c r="B9" i="1"/>
  <c r="A9" i="1"/>
  <c r="W8" i="1"/>
  <c r="V8" i="1"/>
  <c r="U8" i="1"/>
  <c r="T8" i="1"/>
  <c r="S8" i="1"/>
  <c r="R8" i="1"/>
  <c r="Q8" i="1"/>
  <c r="O8" i="1"/>
  <c r="N8" i="1"/>
  <c r="M8" i="1"/>
  <c r="L8" i="1"/>
  <c r="K8" i="1"/>
  <c r="J8" i="1"/>
  <c r="I8" i="1"/>
  <c r="G8" i="1"/>
  <c r="F8" i="1"/>
  <c r="E8" i="1"/>
  <c r="D8" i="1"/>
  <c r="C8" i="1"/>
  <c r="B8" i="1"/>
  <c r="A8" i="1"/>
  <c r="W7" i="1"/>
  <c r="V7" i="1"/>
  <c r="U7" i="1"/>
  <c r="T7" i="1"/>
  <c r="S7" i="1"/>
  <c r="R7" i="1"/>
  <c r="Q7" i="1"/>
  <c r="O7" i="1"/>
  <c r="N7" i="1"/>
  <c r="M7" i="1"/>
  <c r="L7" i="1"/>
  <c r="K7" i="1"/>
  <c r="J7" i="1"/>
  <c r="I7" i="1"/>
  <c r="G7" i="1"/>
  <c r="F7" i="1"/>
  <c r="E7" i="1"/>
  <c r="D7" i="1"/>
  <c r="C7" i="1"/>
  <c r="B7" i="1"/>
  <c r="A7" i="1"/>
  <c r="Q4" i="1"/>
  <c r="I4" i="1"/>
  <c r="A4" i="1"/>
  <c r="A1" i="1"/>
</calcChain>
</file>

<file path=xl/sharedStrings.xml><?xml version="1.0" encoding="utf-8"?>
<sst xmlns="http://schemas.openxmlformats.org/spreadsheetml/2006/main" count="527" uniqueCount="33">
  <si>
    <t>年度（西暦）</t>
  </si>
  <si>
    <t>月</t>
  </si>
  <si>
    <t>日</t>
  </si>
  <si>
    <t>火</t>
  </si>
  <si>
    <t>水</t>
  </si>
  <si>
    <t>木</t>
  </si>
  <si>
    <t>金</t>
  </si>
  <si>
    <t>土</t>
  </si>
  <si>
    <t>休館日</t>
  </si>
  <si>
    <t>毎月、第3月曜日（祝日の場合は翌日）</t>
  </si>
  <si>
    <t>年末年始（12月29日～1月3日）</t>
  </si>
  <si>
    <t>※施設修繕などにより、予定に変更が生じる場合もございます</t>
  </si>
  <si>
    <t>日付</t>
  </si>
  <si>
    <t>祝日名</t>
  </si>
  <si>
    <t>春分・秋分は計算による推定。必要に応じてこの一覧を修正してください。</t>
  </si>
  <si>
    <t>元日</t>
  </si>
  <si>
    <t>成人の日</t>
  </si>
  <si>
    <t>建国記念の日</t>
  </si>
  <si>
    <t>天皇誕生日</t>
  </si>
  <si>
    <t>春分の日</t>
  </si>
  <si>
    <t>振替休日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</si>
  <si>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</si>
  <si>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</si>
  <si>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</si>
  <si>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</si>
  <si>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</si>
  <si>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</si>
  <si>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</si>
  <si>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</si>
  <si>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</si>
  <si>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</si>
  <si>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</si>
  <si>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国民の休日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</si>
</sst>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16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48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theme="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63"/>
      </patternFill>
    </fill>
    <fill>
      <patternFill patternType="solid">
        <fgColor indexed="48"/>
      </patternFill>
    </fill>
    <fill>
      <patternFill patternType="solid">
        <fgColor rgb="FF3366FF"/>
      </patternFill>
    </fill>
    <fill>
      <patternFill patternType="solid">
        <fgColor rgb="FFFF0000"/>
      </patternFill>
    </fill>
    <fill>
      <patternFill patternType="solid">
        <fgColor theme="0"/>
      </patternFill>
    </fill>
    <fill>
      <patternFill patternType="solid">
        <fgColor rgb="FFFFC00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8" borderId="0" xfId="0" applyFont="1" applyFill="1">
      <alignment vertical="center"/>
    </xf>
    <xf numFmtId="0" fontId="14" fillId="7" borderId="0" xfId="0" applyFont="1" applyFill="1" applyAlignment="1">
      <alignment horizontal="center" vertical="center"/>
    </xf>
    <xf numFmtId="14" fontId="0" fillId="0" borderId="0" xfId="0" applyNumberFormat="1">
      <alignment vertical="center"/>
    </xf>
    <xf numFmtId="176" fontId="15" fillId="9" borderId="1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14" fillId="10" borderId="0" xfId="0" applyFont="1" applyFill="1" applyAlignment="1">
      <alignment horizontal="center" vertical="center"/>
    </xf>
  </cellXfs>
  <cellStyles count="1">
    <cellStyle name="標準" xfId="0" builtinId="0"/>
  </cellStyles>
  <dxfs count="36"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  <dxf>
      <font>
        <b/>
        <color rgb="FF3366FF"/>
      </font>
    </dxf>
    <dxf>
      <font>
        <b/>
        <color rgb="FFFF0000"/>
      </font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2"/>
  <sheetViews>
    <sheetView showGridLines="0" tabSelected="1" view="pageBreakPreview" zoomScale="160" zoomScaleNormal="100" zoomScaleSheetLayoutView="160" workbookViewId="0">
      <selection activeCell="E4" sqref="E4:G4"/>
    </sheetView>
  </sheetViews>
  <sheetFormatPr defaultRowHeight="13.2" x14ac:dyDescent="0.2"/>
  <cols>
    <col min="1" max="7" width="4.33203125" customWidth="1"/>
    <col min="8" max="8" width="1.77734375" customWidth="1"/>
    <col min="9" max="15" width="4.33203125" customWidth="1"/>
    <col min="16" max="16" width="1.77734375" customWidth="1"/>
    <col min="17" max="23" width="4.33203125" customWidth="1"/>
  </cols>
  <sheetData>
    <row r="1" spans="1:23" ht="38.25" customHeight="1" x14ac:dyDescent="0.2">
      <c r="A1" s="21" t="str">
        <f>"オカでんアリーナ　令和"&amp;($B$2-2018)&amp;"年度　年間予定"</f>
        <v>オカでんアリーナ　令和9年度　年間予定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0.050000000000001" customHeight="1" x14ac:dyDescent="0.2">
      <c r="A2" s="18" t="s">
        <v>0</v>
      </c>
      <c r="B2" s="28">
        <v>2027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0.050000000000001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22.8" customHeight="1" x14ac:dyDescent="0.3">
      <c r="A4" s="23">
        <f>$B$2</f>
        <v>2027</v>
      </c>
      <c r="B4" s="23"/>
      <c r="C4" s="23"/>
      <c r="D4" s="16">
        <v>4</v>
      </c>
      <c r="E4" s="22" t="s">
        <v>1</v>
      </c>
      <c r="F4" s="22"/>
      <c r="G4" s="22"/>
      <c r="I4" s="23">
        <f>$B$2</f>
        <v>2027</v>
      </c>
      <c r="J4" s="23"/>
      <c r="K4" s="23"/>
      <c r="L4" s="16">
        <v>5</v>
      </c>
      <c r="M4" s="22" t="s">
        <v>1</v>
      </c>
      <c r="N4" s="22"/>
      <c r="O4" s="22"/>
      <c r="Q4" s="23">
        <f>$B$2</f>
        <v>2027</v>
      </c>
      <c r="R4" s="23"/>
      <c r="S4" s="23"/>
      <c r="T4" s="16">
        <v>6</v>
      </c>
      <c r="U4" s="22" t="s">
        <v>1</v>
      </c>
      <c r="V4" s="22"/>
      <c r="W4" s="22"/>
    </row>
    <row r="5" spans="1:23" ht="3.75" customHeight="1" x14ac:dyDescent="0.35">
      <c r="A5" s="7"/>
      <c r="B5" s="8"/>
      <c r="C5" s="8"/>
      <c r="D5" s="6"/>
      <c r="E5" s="6"/>
      <c r="F5" s="6"/>
      <c r="G5" s="6"/>
      <c r="K5" s="2"/>
      <c r="L5" s="1"/>
      <c r="M5" s="1"/>
      <c r="S5" s="2"/>
      <c r="T5" s="1"/>
      <c r="U5" s="1"/>
    </row>
    <row r="6" spans="1:23" ht="19.8" customHeight="1" x14ac:dyDescent="0.2">
      <c r="A6" s="3" t="s">
        <v>2</v>
      </c>
      <c r="B6" s="4" t="s">
        <v>1</v>
      </c>
      <c r="C6" s="4" t="s">
        <v>3</v>
      </c>
      <c r="D6" s="4" t="s">
        <v>4</v>
      </c>
      <c r="E6" s="4" t="s">
        <v>5</v>
      </c>
      <c r="F6" s="4" t="s">
        <v>6</v>
      </c>
      <c r="G6" s="5" t="s">
        <v>7</v>
      </c>
      <c r="I6" s="3" t="s">
        <v>2</v>
      </c>
      <c r="J6" s="4" t="s">
        <v>1</v>
      </c>
      <c r="K6" s="4" t="s">
        <v>3</v>
      </c>
      <c r="L6" s="4" t="s">
        <v>4</v>
      </c>
      <c r="M6" s="4" t="s">
        <v>5</v>
      </c>
      <c r="N6" s="4" t="s">
        <v>6</v>
      </c>
      <c r="O6" s="5" t="s">
        <v>7</v>
      </c>
      <c r="Q6" s="3" t="s">
        <v>2</v>
      </c>
      <c r="R6" s="4" t="s">
        <v>1</v>
      </c>
      <c r="S6" s="4" t="s">
        <v>3</v>
      </c>
      <c r="T6" s="4" t="s">
        <v>4</v>
      </c>
      <c r="U6" s="4" t="s">
        <v>5</v>
      </c>
      <c r="V6" s="4" t="s">
        <v>6</v>
      </c>
      <c r="W6" s="5" t="s">
        <v>7</v>
      </c>
    </row>
    <row r="7" spans="1:23" ht="19.8" customHeight="1" x14ac:dyDescent="0.2">
      <c r="A7" s="20" t="str">
        <f>IF(MONTH(DATE($B$2+0,4,1)-WEEKDAY(DATE($B$2+0,4,1),1)+1+0)=4,DATE($B$2+0,4,1)-WEEKDAY(DATE($B$2+0,4,1),1)+1+0,"")</f>
        <v/>
      </c>
      <c r="B7" s="20" t="str">
        <f>IF(MONTH(DATE($B$2+0,4,1)-WEEKDAY(DATE($B$2+0,4,1),1)+1+1)=4,DATE($B$2+0,4,1)-WEEKDAY(DATE($B$2+0,4,1),1)+1+1,"")</f>
        <v/>
      </c>
      <c r="C7" s="20" t="str">
        <f>IF(MONTH(DATE($B$2+0,4,1)-WEEKDAY(DATE($B$2+0,4,1),1)+1+2)=4,DATE($B$2+0,4,1)-WEEKDAY(DATE($B$2+0,4,1),1)+1+2,"")</f>
        <v/>
      </c>
      <c r="D7" s="20" t="str">
        <f>IF(MONTH(DATE($B$2+0,4,1)-WEEKDAY(DATE($B$2+0,4,1),1)+1+3)=4,DATE($B$2+0,4,1)-WEEKDAY(DATE($B$2+0,4,1),1)+1+3,"")</f>
        <v/>
      </c>
      <c r="E7" s="20">
        <f>IF(MONTH(DATE($B$2+0,4,1)-WEEKDAY(DATE($B$2+0,4,1),1)+1+4)=4,DATE($B$2+0,4,1)-WEEKDAY(DATE($B$2+0,4,1),1)+1+4,"")</f>
        <v>46478</v>
      </c>
      <c r="F7" s="20">
        <f>IF(MONTH(DATE($B$2+0,4,1)-WEEKDAY(DATE($B$2+0,4,1),1)+1+5)=4,DATE($B$2+0,4,1)-WEEKDAY(DATE($B$2+0,4,1),1)+1+5,"")</f>
        <v>46479</v>
      </c>
      <c r="G7" s="20">
        <f>IF(MONTH(DATE($B$2+0,4,1)-WEEKDAY(DATE($B$2+0,4,1),1)+1+6)=4,DATE($B$2+0,4,1)-WEEKDAY(DATE($B$2+0,4,1),1)+1+6,"")</f>
        <v>46480</v>
      </c>
      <c r="I7" s="20" t="str">
        <f>IF(MONTH(DATE($B$2+0,5,1)-WEEKDAY(DATE($B$2+0,5,1),1)+1+0)=5,DATE($B$2+0,5,1)-WEEKDAY(DATE($B$2+0,5,1),1)+1+0,"")</f>
        <v/>
      </c>
      <c r="J7" s="20" t="str">
        <f>IF(MONTH(DATE($B$2+0,5,1)-WEEKDAY(DATE($B$2+0,5,1),1)+1+1)=5,DATE($B$2+0,5,1)-WEEKDAY(DATE($B$2+0,5,1),1)+1+1,"")</f>
        <v/>
      </c>
      <c r="K7" s="20" t="str">
        <f>IF(MONTH(DATE($B$2+0,5,1)-WEEKDAY(DATE($B$2+0,5,1),1)+1+2)=5,DATE($B$2+0,5,1)-WEEKDAY(DATE($B$2+0,5,1),1)+1+2,"")</f>
        <v/>
      </c>
      <c r="L7" s="20" t="str">
        <f>IF(MONTH(DATE($B$2+0,5,1)-WEEKDAY(DATE($B$2+0,5,1),1)+1+3)=5,DATE($B$2+0,5,1)-WEEKDAY(DATE($B$2+0,5,1),1)+1+3,"")</f>
        <v/>
      </c>
      <c r="M7" s="20" t="str">
        <f>IF(MONTH(DATE($B$2+0,5,1)-WEEKDAY(DATE($B$2+0,5,1),1)+1+4)=5,DATE($B$2+0,5,1)-WEEKDAY(DATE($B$2+0,5,1),1)+1+4,"")</f>
        <v/>
      </c>
      <c r="N7" s="20" t="str">
        <f>IF(MONTH(DATE($B$2+0,5,1)-WEEKDAY(DATE($B$2+0,5,1),1)+1+5)=5,DATE($B$2+0,5,1)-WEEKDAY(DATE($B$2+0,5,1),1)+1+5,"")</f>
        <v/>
      </c>
      <c r="O7" s="20">
        <f>IF(MONTH(DATE($B$2+0,5,1)-WEEKDAY(DATE($B$2+0,5,1),1)+1+6)=5,DATE($B$2+0,5,1)-WEEKDAY(DATE($B$2+0,5,1),1)+1+6,"")</f>
        <v>46508</v>
      </c>
      <c r="Q7" s="20" t="str">
        <f>IF(MONTH(DATE($B$2+0,6,1)-WEEKDAY(DATE($B$2+0,6,1),1)+1+0)=6,DATE($B$2+0,6,1)-WEEKDAY(DATE($B$2+0,6,1),1)+1+0,"")</f>
        <v/>
      </c>
      <c r="R7" s="20" t="str">
        <f>IF(MONTH(DATE($B$2+0,6,1)-WEEKDAY(DATE($B$2+0,6,1),1)+1+1)=6,DATE($B$2+0,6,1)-WEEKDAY(DATE($B$2+0,6,1),1)+1+1,"")</f>
        <v/>
      </c>
      <c r="S7" s="20">
        <f>IF(MONTH(DATE($B$2+0,6,1)-WEEKDAY(DATE($B$2+0,6,1),1)+1+2)=6,DATE($B$2+0,6,1)-WEEKDAY(DATE($B$2+0,6,1),1)+1+2,"")</f>
        <v>46539</v>
      </c>
      <c r="T7" s="20">
        <f>IF(MONTH(DATE($B$2+0,6,1)-WEEKDAY(DATE($B$2+0,6,1),1)+1+3)=6,DATE($B$2+0,6,1)-WEEKDAY(DATE($B$2+0,6,1),1)+1+3,"")</f>
        <v>46540</v>
      </c>
      <c r="U7" s="20">
        <f>IF(MONTH(DATE($B$2+0,6,1)-WEEKDAY(DATE($B$2+0,6,1),1)+1+4)=6,DATE($B$2+0,6,1)-WEEKDAY(DATE($B$2+0,6,1),1)+1+4,"")</f>
        <v>46541</v>
      </c>
      <c r="V7" s="20">
        <f>IF(MONTH(DATE($B$2+0,6,1)-WEEKDAY(DATE($B$2+0,6,1),1)+1+5)=6,DATE($B$2+0,6,1)-WEEKDAY(DATE($B$2+0,6,1),1)+1+5,"")</f>
        <v>46542</v>
      </c>
      <c r="W7" s="20">
        <f>IF(MONTH(DATE($B$2+0,6,1)-WEEKDAY(DATE($B$2+0,6,1),1)+1+6)=6,DATE($B$2+0,6,1)-WEEKDAY(DATE($B$2+0,6,1),1)+1+6,"")</f>
        <v>46543</v>
      </c>
    </row>
    <row r="8" spans="1:23" ht="19.8" customHeight="1" x14ac:dyDescent="0.2">
      <c r="A8" s="20">
        <f>IF(MONTH(DATE($B$2+0,4,1)-WEEKDAY(DATE($B$2+0,4,1),1)+1+7)=4,DATE($B$2+0,4,1)-WEEKDAY(DATE($B$2+0,4,1),1)+1+7,"")</f>
        <v>46481</v>
      </c>
      <c r="B8" s="20">
        <f>IF(MONTH(DATE($B$2+0,4,1)-WEEKDAY(DATE($B$2+0,4,1),1)+1+8)=4,DATE($B$2+0,4,1)-WEEKDAY(DATE($B$2+0,4,1),1)+1+8,"")</f>
        <v>46482</v>
      </c>
      <c r="C8" s="20">
        <f>IF(MONTH(DATE($B$2+0,4,1)-WEEKDAY(DATE($B$2+0,4,1),1)+1+9)=4,DATE($B$2+0,4,1)-WEEKDAY(DATE($B$2+0,4,1),1)+1+9,"")</f>
        <v>46483</v>
      </c>
      <c r="D8" s="20">
        <f>IF(MONTH(DATE($B$2+0,4,1)-WEEKDAY(DATE($B$2+0,4,1),1)+1+10)=4,DATE($B$2+0,4,1)-WEEKDAY(DATE($B$2+0,4,1),1)+1+10,"")</f>
        <v>46484</v>
      </c>
      <c r="E8" s="20">
        <f>IF(MONTH(DATE($B$2+0,4,1)-WEEKDAY(DATE($B$2+0,4,1),1)+1+11)=4,DATE($B$2+0,4,1)-WEEKDAY(DATE($B$2+0,4,1),1)+1+11,"")</f>
        <v>46485</v>
      </c>
      <c r="F8" s="20">
        <f>IF(MONTH(DATE($B$2+0,4,1)-WEEKDAY(DATE($B$2+0,4,1),1)+1+12)=4,DATE($B$2+0,4,1)-WEEKDAY(DATE($B$2+0,4,1),1)+1+12,"")</f>
        <v>46486</v>
      </c>
      <c r="G8" s="20">
        <f>IF(MONTH(DATE($B$2+0,4,1)-WEEKDAY(DATE($B$2+0,4,1),1)+1+13)=4,DATE($B$2+0,4,1)-WEEKDAY(DATE($B$2+0,4,1),1)+1+13,"")</f>
        <v>46487</v>
      </c>
      <c r="I8" s="20">
        <f>IF(MONTH(DATE($B$2+0,5,1)-WEEKDAY(DATE($B$2+0,5,1),1)+1+7)=5,DATE($B$2+0,5,1)-WEEKDAY(DATE($B$2+0,5,1),1)+1+7,"")</f>
        <v>46509</v>
      </c>
      <c r="J8" s="20">
        <f>IF(MONTH(DATE($B$2+0,5,1)-WEEKDAY(DATE($B$2+0,5,1),1)+1+8)=5,DATE($B$2+0,5,1)-WEEKDAY(DATE($B$2+0,5,1),1)+1+8,"")</f>
        <v>46510</v>
      </c>
      <c r="K8" s="20">
        <f>IF(MONTH(DATE($B$2+0,5,1)-WEEKDAY(DATE($B$2+0,5,1),1)+1+9)=5,DATE($B$2+0,5,1)-WEEKDAY(DATE($B$2+0,5,1),1)+1+9,"")</f>
        <v>46511</v>
      </c>
      <c r="L8" s="20">
        <f>IF(MONTH(DATE($B$2+0,5,1)-WEEKDAY(DATE($B$2+0,5,1),1)+1+10)=5,DATE($B$2+0,5,1)-WEEKDAY(DATE($B$2+0,5,1),1)+1+10,"")</f>
        <v>46512</v>
      </c>
      <c r="M8" s="20">
        <f>IF(MONTH(DATE($B$2+0,5,1)-WEEKDAY(DATE($B$2+0,5,1),1)+1+11)=5,DATE($B$2+0,5,1)-WEEKDAY(DATE($B$2+0,5,1),1)+1+11,"")</f>
        <v>46513</v>
      </c>
      <c r="N8" s="20">
        <f>IF(MONTH(DATE($B$2+0,5,1)-WEEKDAY(DATE($B$2+0,5,1),1)+1+12)=5,DATE($B$2+0,5,1)-WEEKDAY(DATE($B$2+0,5,1),1)+1+12,"")</f>
        <v>46514</v>
      </c>
      <c r="O8" s="20">
        <f>IF(MONTH(DATE($B$2+0,5,1)-WEEKDAY(DATE($B$2+0,5,1),1)+1+13)=5,DATE($B$2+0,5,1)-WEEKDAY(DATE($B$2+0,5,1),1)+1+13,"")</f>
        <v>46515</v>
      </c>
      <c r="Q8" s="20">
        <f>IF(MONTH(DATE($B$2+0,6,1)-WEEKDAY(DATE($B$2+0,6,1),1)+1+7)=6,DATE($B$2+0,6,1)-WEEKDAY(DATE($B$2+0,6,1),1)+1+7,"")</f>
        <v>46544</v>
      </c>
      <c r="R8" s="20">
        <f>IF(MONTH(DATE($B$2+0,6,1)-WEEKDAY(DATE($B$2+0,6,1),1)+1+8)=6,DATE($B$2+0,6,1)-WEEKDAY(DATE($B$2+0,6,1),1)+1+8,"")</f>
        <v>46545</v>
      </c>
      <c r="S8" s="20">
        <f>IF(MONTH(DATE($B$2+0,6,1)-WEEKDAY(DATE($B$2+0,6,1),1)+1+9)=6,DATE($B$2+0,6,1)-WEEKDAY(DATE($B$2+0,6,1),1)+1+9,"")</f>
        <v>46546</v>
      </c>
      <c r="T8" s="20">
        <f>IF(MONTH(DATE($B$2+0,6,1)-WEEKDAY(DATE($B$2+0,6,1),1)+1+10)=6,DATE($B$2+0,6,1)-WEEKDAY(DATE($B$2+0,6,1),1)+1+10,"")</f>
        <v>46547</v>
      </c>
      <c r="U8" s="20">
        <f>IF(MONTH(DATE($B$2+0,6,1)-WEEKDAY(DATE($B$2+0,6,1),1)+1+11)=6,DATE($B$2+0,6,1)-WEEKDAY(DATE($B$2+0,6,1),1)+1+11,"")</f>
        <v>46548</v>
      </c>
      <c r="V8" s="20">
        <f>IF(MONTH(DATE($B$2+0,6,1)-WEEKDAY(DATE($B$2+0,6,1),1)+1+12)=6,DATE($B$2+0,6,1)-WEEKDAY(DATE($B$2+0,6,1),1)+1+12,"")</f>
        <v>46549</v>
      </c>
      <c r="W8" s="20">
        <f>IF(MONTH(DATE($B$2+0,6,1)-WEEKDAY(DATE($B$2+0,6,1),1)+1+13)=6,DATE($B$2+0,6,1)-WEEKDAY(DATE($B$2+0,6,1),1)+1+13,"")</f>
        <v>46550</v>
      </c>
    </row>
    <row r="9" spans="1:23" ht="19.8" customHeight="1" x14ac:dyDescent="0.2">
      <c r="A9" s="20">
        <f>IF(MONTH(DATE($B$2+0,4,1)-WEEKDAY(DATE($B$2+0,4,1),1)+1+14)=4,DATE($B$2+0,4,1)-WEEKDAY(DATE($B$2+0,4,1),1)+1+14,"")</f>
        <v>46488</v>
      </c>
      <c r="B9" s="20">
        <f>IF(MONTH(DATE($B$2+0,4,1)-WEEKDAY(DATE($B$2+0,4,1),1)+1+15)=4,DATE($B$2+0,4,1)-WEEKDAY(DATE($B$2+0,4,1),1)+1+15,"")</f>
        <v>46489</v>
      </c>
      <c r="C9" s="20">
        <f>IF(MONTH(DATE($B$2+0,4,1)-WEEKDAY(DATE($B$2+0,4,1),1)+1+16)=4,DATE($B$2+0,4,1)-WEEKDAY(DATE($B$2+0,4,1),1)+1+16,"")</f>
        <v>46490</v>
      </c>
      <c r="D9" s="20">
        <f>IF(MONTH(DATE($B$2+0,4,1)-WEEKDAY(DATE($B$2+0,4,1),1)+1+17)=4,DATE($B$2+0,4,1)-WEEKDAY(DATE($B$2+0,4,1),1)+1+17,"")</f>
        <v>46491</v>
      </c>
      <c r="E9" s="20">
        <f>IF(MONTH(DATE($B$2+0,4,1)-WEEKDAY(DATE($B$2+0,4,1),1)+1+18)=4,DATE($B$2+0,4,1)-WEEKDAY(DATE($B$2+0,4,1),1)+1+18,"")</f>
        <v>46492</v>
      </c>
      <c r="F9" s="20">
        <f>IF(MONTH(DATE($B$2+0,4,1)-WEEKDAY(DATE($B$2+0,4,1),1)+1+19)=4,DATE($B$2+0,4,1)-WEEKDAY(DATE($B$2+0,4,1),1)+1+19,"")</f>
        <v>46493</v>
      </c>
      <c r="G9" s="20">
        <f>IF(MONTH(DATE($B$2+0,4,1)-WEEKDAY(DATE($B$2+0,4,1),1)+1+20)=4,DATE($B$2+0,4,1)-WEEKDAY(DATE($B$2+0,4,1),1)+1+20,"")</f>
        <v>46494</v>
      </c>
      <c r="I9" s="20">
        <f>IF(MONTH(DATE($B$2+0,5,1)-WEEKDAY(DATE($B$2+0,5,1),1)+1+14)=5,DATE($B$2+0,5,1)-WEEKDAY(DATE($B$2+0,5,1),1)+1+14,"")</f>
        <v>46516</v>
      </c>
      <c r="J9" s="20">
        <f>IF(MONTH(DATE($B$2+0,5,1)-WEEKDAY(DATE($B$2+0,5,1),1)+1+15)=5,DATE($B$2+0,5,1)-WEEKDAY(DATE($B$2+0,5,1),1)+1+15,"")</f>
        <v>46517</v>
      </c>
      <c r="K9" s="20">
        <f>IF(MONTH(DATE($B$2+0,5,1)-WEEKDAY(DATE($B$2+0,5,1),1)+1+16)=5,DATE($B$2+0,5,1)-WEEKDAY(DATE($B$2+0,5,1),1)+1+16,"")</f>
        <v>46518</v>
      </c>
      <c r="L9" s="20">
        <f>IF(MONTH(DATE($B$2+0,5,1)-WEEKDAY(DATE($B$2+0,5,1),1)+1+17)=5,DATE($B$2+0,5,1)-WEEKDAY(DATE($B$2+0,5,1),1)+1+17,"")</f>
        <v>46519</v>
      </c>
      <c r="M9" s="20">
        <f>IF(MONTH(DATE($B$2+0,5,1)-WEEKDAY(DATE($B$2+0,5,1),1)+1+18)=5,DATE($B$2+0,5,1)-WEEKDAY(DATE($B$2+0,5,1),1)+1+18,"")</f>
        <v>46520</v>
      </c>
      <c r="N9" s="20">
        <f>IF(MONTH(DATE($B$2+0,5,1)-WEEKDAY(DATE($B$2+0,5,1),1)+1+19)=5,DATE($B$2+0,5,1)-WEEKDAY(DATE($B$2+0,5,1),1)+1+19,"")</f>
        <v>46521</v>
      </c>
      <c r="O9" s="20">
        <f>IF(MONTH(DATE($B$2+0,5,1)-WEEKDAY(DATE($B$2+0,5,1),1)+1+20)=5,DATE($B$2+0,5,1)-WEEKDAY(DATE($B$2+0,5,1),1)+1+20,"")</f>
        <v>46522</v>
      </c>
      <c r="Q9" s="20">
        <f>IF(MONTH(DATE($B$2+0,6,1)-WEEKDAY(DATE($B$2+0,6,1),1)+1+14)=6,DATE($B$2+0,6,1)-WEEKDAY(DATE($B$2+0,6,1),1)+1+14,"")</f>
        <v>46551</v>
      </c>
      <c r="R9" s="20">
        <f>IF(MONTH(DATE($B$2+0,6,1)-WEEKDAY(DATE($B$2+0,6,1),1)+1+15)=6,DATE($B$2+0,6,1)-WEEKDAY(DATE($B$2+0,6,1),1)+1+15,"")</f>
        <v>46552</v>
      </c>
      <c r="S9" s="20">
        <f>IF(MONTH(DATE($B$2+0,6,1)-WEEKDAY(DATE($B$2+0,6,1),1)+1+16)=6,DATE($B$2+0,6,1)-WEEKDAY(DATE($B$2+0,6,1),1)+1+16,"")</f>
        <v>46553</v>
      </c>
      <c r="T9" s="20">
        <f>IF(MONTH(DATE($B$2+0,6,1)-WEEKDAY(DATE($B$2+0,6,1),1)+1+17)=6,DATE($B$2+0,6,1)-WEEKDAY(DATE($B$2+0,6,1),1)+1+17,"")</f>
        <v>46554</v>
      </c>
      <c r="U9" s="20">
        <f>IF(MONTH(DATE($B$2+0,6,1)-WEEKDAY(DATE($B$2+0,6,1),1)+1+18)=6,DATE($B$2+0,6,1)-WEEKDAY(DATE($B$2+0,6,1),1)+1+18,"")</f>
        <v>46555</v>
      </c>
      <c r="V9" s="20">
        <f>IF(MONTH(DATE($B$2+0,6,1)-WEEKDAY(DATE($B$2+0,6,1),1)+1+19)=6,DATE($B$2+0,6,1)-WEEKDAY(DATE($B$2+0,6,1),1)+1+19,"")</f>
        <v>46556</v>
      </c>
      <c r="W9" s="20">
        <f>IF(MONTH(DATE($B$2+0,6,1)-WEEKDAY(DATE($B$2+0,6,1),1)+1+20)=6,DATE($B$2+0,6,1)-WEEKDAY(DATE($B$2+0,6,1),1)+1+20,"")</f>
        <v>46557</v>
      </c>
    </row>
    <row r="10" spans="1:23" ht="19.8" customHeight="1" x14ac:dyDescent="0.2">
      <c r="A10" s="20">
        <f>IF(MONTH(DATE($B$2+0,4,1)-WEEKDAY(DATE($B$2+0,4,1),1)+1+21)=4,DATE($B$2+0,4,1)-WEEKDAY(DATE($B$2+0,4,1),1)+1+21,"")</f>
        <v>46495</v>
      </c>
      <c r="B10" s="20">
        <f>IF(MONTH(DATE($B$2+0,4,1)-WEEKDAY(DATE($B$2+0,4,1),1)+1+22)=4,DATE($B$2+0,4,1)-WEEKDAY(DATE($B$2+0,4,1),1)+1+22,"")</f>
        <v>46496</v>
      </c>
      <c r="C10" s="20">
        <f>IF(MONTH(DATE($B$2+0,4,1)-WEEKDAY(DATE($B$2+0,4,1),1)+1+23)=4,DATE($B$2+0,4,1)-WEEKDAY(DATE($B$2+0,4,1),1)+1+23,"")</f>
        <v>46497</v>
      </c>
      <c r="D10" s="20">
        <f>IF(MONTH(DATE($B$2+0,4,1)-WEEKDAY(DATE($B$2+0,4,1),1)+1+24)=4,DATE($B$2+0,4,1)-WEEKDAY(DATE($B$2+0,4,1),1)+1+24,"")</f>
        <v>46498</v>
      </c>
      <c r="E10" s="20">
        <f>IF(MONTH(DATE($B$2+0,4,1)-WEEKDAY(DATE($B$2+0,4,1),1)+1+25)=4,DATE($B$2+0,4,1)-WEEKDAY(DATE($B$2+0,4,1),1)+1+25,"")</f>
        <v>46499</v>
      </c>
      <c r="F10" s="20">
        <f>IF(MONTH(DATE($B$2+0,4,1)-WEEKDAY(DATE($B$2+0,4,1),1)+1+26)=4,DATE($B$2+0,4,1)-WEEKDAY(DATE($B$2+0,4,1),1)+1+26,"")</f>
        <v>46500</v>
      </c>
      <c r="G10" s="20">
        <f>IF(MONTH(DATE($B$2+0,4,1)-WEEKDAY(DATE($B$2+0,4,1),1)+1+27)=4,DATE($B$2+0,4,1)-WEEKDAY(DATE($B$2+0,4,1),1)+1+27,"")</f>
        <v>46501</v>
      </c>
      <c r="I10" s="20">
        <f>IF(MONTH(DATE($B$2+0,5,1)-WEEKDAY(DATE($B$2+0,5,1),1)+1+21)=5,DATE($B$2+0,5,1)-WEEKDAY(DATE($B$2+0,5,1),1)+1+21,"")</f>
        <v>46523</v>
      </c>
      <c r="J10" s="20">
        <f>IF(MONTH(DATE($B$2+0,5,1)-WEEKDAY(DATE($B$2+0,5,1),1)+1+22)=5,DATE($B$2+0,5,1)-WEEKDAY(DATE($B$2+0,5,1),1)+1+22,"")</f>
        <v>46524</v>
      </c>
      <c r="K10" s="20">
        <f>IF(MONTH(DATE($B$2+0,5,1)-WEEKDAY(DATE($B$2+0,5,1),1)+1+23)=5,DATE($B$2+0,5,1)-WEEKDAY(DATE($B$2+0,5,1),1)+1+23,"")</f>
        <v>46525</v>
      </c>
      <c r="L10" s="20">
        <f>IF(MONTH(DATE($B$2+0,5,1)-WEEKDAY(DATE($B$2+0,5,1),1)+1+24)=5,DATE($B$2+0,5,1)-WEEKDAY(DATE($B$2+0,5,1),1)+1+24,"")</f>
        <v>46526</v>
      </c>
      <c r="M10" s="20">
        <f>IF(MONTH(DATE($B$2+0,5,1)-WEEKDAY(DATE($B$2+0,5,1),1)+1+25)=5,DATE($B$2+0,5,1)-WEEKDAY(DATE($B$2+0,5,1),1)+1+25,"")</f>
        <v>46527</v>
      </c>
      <c r="N10" s="20">
        <f>IF(MONTH(DATE($B$2+0,5,1)-WEEKDAY(DATE($B$2+0,5,1),1)+1+26)=5,DATE($B$2+0,5,1)-WEEKDAY(DATE($B$2+0,5,1),1)+1+26,"")</f>
        <v>46528</v>
      </c>
      <c r="O10" s="20">
        <f>IF(MONTH(DATE($B$2+0,5,1)-WEEKDAY(DATE($B$2+0,5,1),1)+1+27)=5,DATE($B$2+0,5,1)-WEEKDAY(DATE($B$2+0,5,1),1)+1+27,"")</f>
        <v>46529</v>
      </c>
      <c r="Q10" s="20">
        <f>IF(MONTH(DATE($B$2+0,6,1)-WEEKDAY(DATE($B$2+0,6,1),1)+1+21)=6,DATE($B$2+0,6,1)-WEEKDAY(DATE($B$2+0,6,1),1)+1+21,"")</f>
        <v>46558</v>
      </c>
      <c r="R10" s="20">
        <f>IF(MONTH(DATE($B$2+0,6,1)-WEEKDAY(DATE($B$2+0,6,1),1)+1+22)=6,DATE($B$2+0,6,1)-WEEKDAY(DATE($B$2+0,6,1),1)+1+22,"")</f>
        <v>46559</v>
      </c>
      <c r="S10" s="20">
        <f>IF(MONTH(DATE($B$2+0,6,1)-WEEKDAY(DATE($B$2+0,6,1),1)+1+23)=6,DATE($B$2+0,6,1)-WEEKDAY(DATE($B$2+0,6,1),1)+1+23,"")</f>
        <v>46560</v>
      </c>
      <c r="T10" s="20">
        <f>IF(MONTH(DATE($B$2+0,6,1)-WEEKDAY(DATE($B$2+0,6,1),1)+1+24)=6,DATE($B$2+0,6,1)-WEEKDAY(DATE($B$2+0,6,1),1)+1+24,"")</f>
        <v>46561</v>
      </c>
      <c r="U10" s="20">
        <f>IF(MONTH(DATE($B$2+0,6,1)-WEEKDAY(DATE($B$2+0,6,1),1)+1+25)=6,DATE($B$2+0,6,1)-WEEKDAY(DATE($B$2+0,6,1),1)+1+25,"")</f>
        <v>46562</v>
      </c>
      <c r="V10" s="20">
        <f>IF(MONTH(DATE($B$2+0,6,1)-WEEKDAY(DATE($B$2+0,6,1),1)+1+26)=6,DATE($B$2+0,6,1)-WEEKDAY(DATE($B$2+0,6,1),1)+1+26,"")</f>
        <v>46563</v>
      </c>
      <c r="W10" s="20">
        <f>IF(MONTH(DATE($B$2+0,6,1)-WEEKDAY(DATE($B$2+0,6,1),1)+1+27)=6,DATE($B$2+0,6,1)-WEEKDAY(DATE($B$2+0,6,1),1)+1+27,"")</f>
        <v>46564</v>
      </c>
    </row>
    <row r="11" spans="1:23" ht="19.8" customHeight="1" x14ac:dyDescent="0.2">
      <c r="A11" s="20">
        <f>IF(MONTH(DATE($B$2+0,4,1)-WEEKDAY(DATE($B$2+0,4,1),1)+1+28)=4,DATE($B$2+0,4,1)-WEEKDAY(DATE($B$2+0,4,1),1)+1+28,"")</f>
        <v>46502</v>
      </c>
      <c r="B11" s="20">
        <f>IF(MONTH(DATE($B$2+0,4,1)-WEEKDAY(DATE($B$2+0,4,1),1)+1+29)=4,DATE($B$2+0,4,1)-WEEKDAY(DATE($B$2+0,4,1),1)+1+29,"")</f>
        <v>46503</v>
      </c>
      <c r="C11" s="20">
        <f>IF(MONTH(DATE($B$2+0,4,1)-WEEKDAY(DATE($B$2+0,4,1),1)+1+30)=4,DATE($B$2+0,4,1)-WEEKDAY(DATE($B$2+0,4,1),1)+1+30,"")</f>
        <v>46504</v>
      </c>
      <c r="D11" s="20">
        <f>IF(MONTH(DATE($B$2+0,4,1)-WEEKDAY(DATE($B$2+0,4,1),1)+1+31)=4,DATE($B$2+0,4,1)-WEEKDAY(DATE($B$2+0,4,1),1)+1+31,"")</f>
        <v>46505</v>
      </c>
      <c r="E11" s="20">
        <f>IF(MONTH(DATE($B$2+0,4,1)-WEEKDAY(DATE($B$2+0,4,1),1)+1+32)=4,DATE($B$2+0,4,1)-WEEKDAY(DATE($B$2+0,4,1),1)+1+32,"")</f>
        <v>46506</v>
      </c>
      <c r="F11" s="20">
        <f>IF(MONTH(DATE($B$2+0,4,1)-WEEKDAY(DATE($B$2+0,4,1),1)+1+33)=4,DATE($B$2+0,4,1)-WEEKDAY(DATE($B$2+0,4,1),1)+1+33,"")</f>
        <v>46507</v>
      </c>
      <c r="G11" s="20" t="str">
        <f>IF(MONTH(DATE($B$2+0,4,1)-WEEKDAY(DATE($B$2+0,4,1),1)+1+34)=4,DATE($B$2+0,4,1)-WEEKDAY(DATE($B$2+0,4,1),1)+1+34,"")</f>
        <v/>
      </c>
      <c r="I11" s="20">
        <f>IF(MONTH(DATE($B$2+0,5,1)-WEEKDAY(DATE($B$2+0,5,1),1)+1+28)=5,DATE($B$2+0,5,1)-WEEKDAY(DATE($B$2+0,5,1),1)+1+28,"")</f>
        <v>46530</v>
      </c>
      <c r="J11" s="20">
        <f>IF(MONTH(DATE($B$2+0,5,1)-WEEKDAY(DATE($B$2+0,5,1),1)+1+29)=5,DATE($B$2+0,5,1)-WEEKDAY(DATE($B$2+0,5,1),1)+1+29,"")</f>
        <v>46531</v>
      </c>
      <c r="K11" s="20">
        <f>IF(MONTH(DATE($B$2+0,5,1)-WEEKDAY(DATE($B$2+0,5,1),1)+1+30)=5,DATE($B$2+0,5,1)-WEEKDAY(DATE($B$2+0,5,1),1)+1+30,"")</f>
        <v>46532</v>
      </c>
      <c r="L11" s="20">
        <f>IF(MONTH(DATE($B$2+0,5,1)-WEEKDAY(DATE($B$2+0,5,1),1)+1+31)=5,DATE($B$2+0,5,1)-WEEKDAY(DATE($B$2+0,5,1),1)+1+31,"")</f>
        <v>46533</v>
      </c>
      <c r="M11" s="20">
        <f>IF(MONTH(DATE($B$2+0,5,1)-WEEKDAY(DATE($B$2+0,5,1),1)+1+32)=5,DATE($B$2+0,5,1)-WEEKDAY(DATE($B$2+0,5,1),1)+1+32,"")</f>
        <v>46534</v>
      </c>
      <c r="N11" s="20">
        <f>IF(MONTH(DATE($B$2+0,5,1)-WEEKDAY(DATE($B$2+0,5,1),1)+1+33)=5,DATE($B$2+0,5,1)-WEEKDAY(DATE($B$2+0,5,1),1)+1+33,"")</f>
        <v>46535</v>
      </c>
      <c r="O11" s="20">
        <f>IF(MONTH(DATE($B$2+0,5,1)-WEEKDAY(DATE($B$2+0,5,1),1)+1+34)=5,DATE($B$2+0,5,1)-WEEKDAY(DATE($B$2+0,5,1),1)+1+34,"")</f>
        <v>46536</v>
      </c>
      <c r="Q11" s="20">
        <f>IF(MONTH(DATE($B$2+0,6,1)-WEEKDAY(DATE($B$2+0,6,1),1)+1+28)=6,DATE($B$2+0,6,1)-WEEKDAY(DATE($B$2+0,6,1),1)+1+28,"")</f>
        <v>46565</v>
      </c>
      <c r="R11" s="20">
        <f>IF(MONTH(DATE($B$2+0,6,1)-WEEKDAY(DATE($B$2+0,6,1),1)+1+29)=6,DATE($B$2+0,6,1)-WEEKDAY(DATE($B$2+0,6,1),1)+1+29,"")</f>
        <v>46566</v>
      </c>
      <c r="S11" s="20">
        <f>IF(MONTH(DATE($B$2+0,6,1)-WEEKDAY(DATE($B$2+0,6,1),1)+1+30)=6,DATE($B$2+0,6,1)-WEEKDAY(DATE($B$2+0,6,1),1)+1+30,"")</f>
        <v>46567</v>
      </c>
      <c r="T11" s="20">
        <f>IF(MONTH(DATE($B$2+0,6,1)-WEEKDAY(DATE($B$2+0,6,1),1)+1+31)=6,DATE($B$2+0,6,1)-WEEKDAY(DATE($B$2+0,6,1),1)+1+31,"")</f>
        <v>46568</v>
      </c>
      <c r="U11" s="20" t="str">
        <f>IF(MONTH(DATE($B$2+0,6,1)-WEEKDAY(DATE($B$2+0,6,1),1)+1+32)=6,DATE($B$2+0,6,1)-WEEKDAY(DATE($B$2+0,6,1),1)+1+32,"")</f>
        <v/>
      </c>
      <c r="V11" s="20" t="str">
        <f>IF(MONTH(DATE($B$2+0,6,1)-WEEKDAY(DATE($B$2+0,6,1),1)+1+33)=6,DATE($B$2+0,6,1)-WEEKDAY(DATE($B$2+0,6,1),1)+1+33,"")</f>
        <v/>
      </c>
      <c r="W11" s="20" t="str">
        <f>IF(MONTH(DATE($B$2+0,6,1)-WEEKDAY(DATE($B$2+0,6,1),1)+1+34)=6,DATE($B$2+0,6,1)-WEEKDAY(DATE($B$2+0,6,1),1)+1+34,"")</f>
        <v/>
      </c>
    </row>
    <row r="12" spans="1:23" ht="19.8" customHeight="1" x14ac:dyDescent="0.2">
      <c r="A12" s="20" t="str">
        <f>IF(MONTH(DATE($B$2+0,4,1)-WEEKDAY(DATE($B$2+0,4,1),1)+1+35)=4,DATE($B$2+0,4,1)-WEEKDAY(DATE($B$2+0,4,1),1)+1+35,"")</f>
        <v/>
      </c>
      <c r="B12" s="20" t="str">
        <f>IF(MONTH(DATE($B$2+0,4,1)-WEEKDAY(DATE($B$2+0,4,1),1)+1+36)=4,DATE($B$2+0,4,1)-WEEKDAY(DATE($B$2+0,4,1),1)+1+36,"")</f>
        <v/>
      </c>
      <c r="C12" s="20" t="str">
        <f>IF(MONTH(DATE($B$2+0,4,1)-WEEKDAY(DATE($B$2+0,4,1),1)+1+37)=4,DATE($B$2+0,4,1)-WEEKDAY(DATE($B$2+0,4,1),1)+1+37,"")</f>
        <v/>
      </c>
      <c r="D12" s="20" t="str">
        <f>IF(MONTH(DATE($B$2+0,4,1)-WEEKDAY(DATE($B$2+0,4,1),1)+1+38)=4,DATE($B$2+0,4,1)-WEEKDAY(DATE($B$2+0,4,1),1)+1+38,"")</f>
        <v/>
      </c>
      <c r="E12" s="20" t="str">
        <f>IF(MONTH(DATE($B$2+0,4,1)-WEEKDAY(DATE($B$2+0,4,1),1)+1+39)=4,DATE($B$2+0,4,1)-WEEKDAY(DATE($B$2+0,4,1),1)+1+39,"")</f>
        <v/>
      </c>
      <c r="F12" s="20" t="str">
        <f>IF(MONTH(DATE($B$2+0,4,1)-WEEKDAY(DATE($B$2+0,4,1),1)+1+40)=4,DATE($B$2+0,4,1)-WEEKDAY(DATE($B$2+0,4,1),1)+1+40,"")</f>
        <v/>
      </c>
      <c r="G12" s="20" t="str">
        <f>IF(MONTH(DATE($B$2+0,4,1)-WEEKDAY(DATE($B$2+0,4,1),1)+1+41)=4,DATE($B$2+0,4,1)-WEEKDAY(DATE($B$2+0,4,1),1)+1+41,"")</f>
        <v/>
      </c>
      <c r="I12" s="20">
        <f>IF(MONTH(DATE($B$2+0,5,1)-WEEKDAY(DATE($B$2+0,5,1),1)+1+35)=5,DATE($B$2+0,5,1)-WEEKDAY(DATE($B$2+0,5,1),1)+1+35,"")</f>
        <v>46537</v>
      </c>
      <c r="J12" s="20">
        <f>IF(MONTH(DATE($B$2+0,5,1)-WEEKDAY(DATE($B$2+0,5,1),1)+1+36)=5,DATE($B$2+0,5,1)-WEEKDAY(DATE($B$2+0,5,1),1)+1+36,"")</f>
        <v>46538</v>
      </c>
      <c r="K12" s="20" t="str">
        <f>IF(MONTH(DATE($B$2+0,5,1)-WEEKDAY(DATE($B$2+0,5,1),1)+1+37)=5,DATE($B$2+0,5,1)-WEEKDAY(DATE($B$2+0,5,1),1)+1+37,"")</f>
        <v/>
      </c>
      <c r="L12" s="20" t="str">
        <f>IF(MONTH(DATE($B$2+0,5,1)-WEEKDAY(DATE($B$2+0,5,1),1)+1+38)=5,DATE($B$2+0,5,1)-WEEKDAY(DATE($B$2+0,5,1),1)+1+38,"")</f>
        <v/>
      </c>
      <c r="M12" s="20" t="str">
        <f>IF(MONTH(DATE($B$2+0,5,1)-WEEKDAY(DATE($B$2+0,5,1),1)+1+39)=5,DATE($B$2+0,5,1)-WEEKDAY(DATE($B$2+0,5,1),1)+1+39,"")</f>
        <v/>
      </c>
      <c r="N12" s="20" t="str">
        <f>IF(MONTH(DATE($B$2+0,5,1)-WEEKDAY(DATE($B$2+0,5,1),1)+1+40)=5,DATE($B$2+0,5,1)-WEEKDAY(DATE($B$2+0,5,1),1)+1+40,"")</f>
        <v/>
      </c>
      <c r="O12" s="20" t="str">
        <f>IF(MONTH(DATE($B$2+0,5,1)-WEEKDAY(DATE($B$2+0,5,1),1)+1+41)=5,DATE($B$2+0,5,1)-WEEKDAY(DATE($B$2+0,5,1),1)+1+41,"")</f>
        <v/>
      </c>
      <c r="Q12" s="20" t="str">
        <f>IF(MONTH(DATE($B$2+0,6,1)-WEEKDAY(DATE($B$2+0,6,1),1)+1+35)=6,DATE($B$2+0,6,1)-WEEKDAY(DATE($B$2+0,6,1),1)+1+35,"")</f>
        <v/>
      </c>
      <c r="R12" s="20" t="str">
        <f>IF(MONTH(DATE($B$2+0,6,1)-WEEKDAY(DATE($B$2+0,6,1),1)+1+36)=6,DATE($B$2+0,6,1)-WEEKDAY(DATE($B$2+0,6,1),1)+1+36,"")</f>
        <v/>
      </c>
      <c r="S12" s="20" t="str">
        <f>IF(MONTH(DATE($B$2+0,6,1)-WEEKDAY(DATE($B$2+0,6,1),1)+1+37)=6,DATE($B$2+0,6,1)-WEEKDAY(DATE($B$2+0,6,1),1)+1+37,"")</f>
        <v/>
      </c>
      <c r="T12" s="20" t="str">
        <f>IF(MONTH(DATE($B$2+0,6,1)-WEEKDAY(DATE($B$2+0,6,1),1)+1+38)=6,DATE($B$2+0,6,1)-WEEKDAY(DATE($B$2+0,6,1),1)+1+38,"")</f>
        <v/>
      </c>
      <c r="U12" s="20" t="str">
        <f>IF(MONTH(DATE($B$2+0,6,1)-WEEKDAY(DATE($B$2+0,6,1),1)+1+39)=6,DATE($B$2+0,6,1)-WEEKDAY(DATE($B$2+0,6,1),1)+1+39,"")</f>
        <v/>
      </c>
      <c r="V12" s="20" t="str">
        <f>IF(MONTH(DATE($B$2+0,6,1)-WEEKDAY(DATE($B$2+0,6,1),1)+1+40)=6,DATE($B$2+0,6,1)-WEEKDAY(DATE($B$2+0,6,1),1)+1+40,"")</f>
        <v/>
      </c>
      <c r="W12" s="20" t="str">
        <f>IF(MONTH(DATE($B$2+0,6,1)-WEEKDAY(DATE($B$2+0,6,1),1)+1+41)=6,DATE($B$2+0,6,1)-WEEKDAY(DATE($B$2+0,6,1),1)+1+41,"")</f>
        <v/>
      </c>
    </row>
    <row r="13" spans="1:23" ht="10.050000000000001" customHeight="1" x14ac:dyDescent="0.2">
      <c r="A13" s="11"/>
      <c r="B13" s="12"/>
      <c r="C13" s="13"/>
      <c r="D13" s="13"/>
      <c r="E13" s="13"/>
      <c r="F13" s="13"/>
      <c r="G13" s="13"/>
      <c r="I13" s="11"/>
      <c r="J13" s="12"/>
      <c r="K13" s="13"/>
      <c r="L13" s="13"/>
      <c r="M13" s="13"/>
      <c r="N13" s="13"/>
      <c r="O13" s="13"/>
      <c r="Q13" s="15"/>
      <c r="R13" s="13"/>
      <c r="S13" s="13"/>
      <c r="T13" s="13"/>
      <c r="U13" s="13"/>
      <c r="V13" s="13"/>
      <c r="W13" s="13"/>
    </row>
    <row r="14" spans="1:23" ht="22.8" customHeight="1" x14ac:dyDescent="0.3">
      <c r="A14" s="23">
        <f>$B$2</f>
        <v>2027</v>
      </c>
      <c r="B14" s="23"/>
      <c r="C14" s="23"/>
      <c r="D14" s="16">
        <v>7</v>
      </c>
      <c r="E14" s="22" t="s">
        <v>1</v>
      </c>
      <c r="F14" s="22"/>
      <c r="G14" s="22"/>
      <c r="I14" s="23">
        <f>$B$2</f>
        <v>2027</v>
      </c>
      <c r="J14" s="23"/>
      <c r="K14" s="23"/>
      <c r="L14" s="16">
        <v>8</v>
      </c>
      <c r="M14" s="22" t="s">
        <v>1</v>
      </c>
      <c r="N14" s="22"/>
      <c r="O14" s="22"/>
      <c r="Q14" s="23">
        <f>$B$2</f>
        <v>2027</v>
      </c>
      <c r="R14" s="23"/>
      <c r="S14" s="23"/>
      <c r="T14" s="16">
        <v>9</v>
      </c>
      <c r="U14" s="22" t="s">
        <v>1</v>
      </c>
      <c r="V14" s="22"/>
      <c r="W14" s="22"/>
    </row>
    <row r="15" spans="1:23" ht="3.75" customHeight="1" x14ac:dyDescent="0.35">
      <c r="A15" s="7"/>
      <c r="B15" s="8"/>
      <c r="C15" s="8"/>
      <c r="D15" s="6"/>
      <c r="E15" s="6"/>
      <c r="F15" s="6"/>
      <c r="G15" s="6"/>
      <c r="K15" s="2"/>
      <c r="L15" s="1"/>
      <c r="M15" s="1"/>
      <c r="S15" s="2"/>
      <c r="T15" s="1"/>
      <c r="U15" s="1"/>
    </row>
    <row r="16" spans="1:23" ht="19.8" customHeight="1" x14ac:dyDescent="0.2">
      <c r="A16" s="3" t="s">
        <v>2</v>
      </c>
      <c r="B16" s="4" t="s">
        <v>1</v>
      </c>
      <c r="C16" s="4" t="s">
        <v>3</v>
      </c>
      <c r="D16" s="4" t="s">
        <v>4</v>
      </c>
      <c r="E16" s="4" t="s">
        <v>5</v>
      </c>
      <c r="F16" s="4" t="s">
        <v>6</v>
      </c>
      <c r="G16" s="5" t="s">
        <v>7</v>
      </c>
      <c r="I16" s="3" t="s">
        <v>2</v>
      </c>
      <c r="J16" s="4" t="s">
        <v>1</v>
      </c>
      <c r="K16" s="4" t="s">
        <v>3</v>
      </c>
      <c r="L16" s="4" t="s">
        <v>4</v>
      </c>
      <c r="M16" s="4" t="s">
        <v>5</v>
      </c>
      <c r="N16" s="4" t="s">
        <v>6</v>
      </c>
      <c r="O16" s="5" t="s">
        <v>7</v>
      </c>
      <c r="Q16" s="3" t="s">
        <v>2</v>
      </c>
      <c r="R16" s="4" t="s">
        <v>1</v>
      </c>
      <c r="S16" s="4" t="s">
        <v>3</v>
      </c>
      <c r="T16" s="4" t="s">
        <v>4</v>
      </c>
      <c r="U16" s="4" t="s">
        <v>5</v>
      </c>
      <c r="V16" s="4" t="s">
        <v>6</v>
      </c>
      <c r="W16" s="5" t="s">
        <v>7</v>
      </c>
    </row>
    <row r="17" spans="1:23" ht="19.8" customHeight="1" x14ac:dyDescent="0.2">
      <c r="A17" s="20" t="str">
        <f>IF(MONTH(DATE($B$2+0,7,1)-WEEKDAY(DATE($B$2+0,7,1),1)+1+0)=7,DATE($B$2+0,7,1)-WEEKDAY(DATE($B$2+0,7,1),1)+1+0,"")</f>
        <v/>
      </c>
      <c r="B17" s="20" t="str">
        <f>IF(MONTH(DATE($B$2+0,7,1)-WEEKDAY(DATE($B$2+0,7,1),1)+1+1)=7,DATE($B$2+0,7,1)-WEEKDAY(DATE($B$2+0,7,1),1)+1+1,"")</f>
        <v/>
      </c>
      <c r="C17" s="20" t="str">
        <f>IF(MONTH(DATE($B$2+0,7,1)-WEEKDAY(DATE($B$2+0,7,1),1)+1+2)=7,DATE($B$2+0,7,1)-WEEKDAY(DATE($B$2+0,7,1),1)+1+2,"")</f>
        <v/>
      </c>
      <c r="D17" s="20" t="str">
        <f>IF(MONTH(DATE($B$2+0,7,1)-WEEKDAY(DATE($B$2+0,7,1),1)+1+3)=7,DATE($B$2+0,7,1)-WEEKDAY(DATE($B$2+0,7,1),1)+1+3,"")</f>
        <v/>
      </c>
      <c r="E17" s="20">
        <f>IF(MONTH(DATE($B$2+0,7,1)-WEEKDAY(DATE($B$2+0,7,1),1)+1+4)=7,DATE($B$2+0,7,1)-WEEKDAY(DATE($B$2+0,7,1),1)+1+4,"")</f>
        <v>46569</v>
      </c>
      <c r="F17" s="20">
        <f>IF(MONTH(DATE($B$2+0,7,1)-WEEKDAY(DATE($B$2+0,7,1),1)+1+5)=7,DATE($B$2+0,7,1)-WEEKDAY(DATE($B$2+0,7,1),1)+1+5,"")</f>
        <v>46570</v>
      </c>
      <c r="G17" s="20">
        <f>IF(MONTH(DATE($B$2+0,7,1)-WEEKDAY(DATE($B$2+0,7,1),1)+1+6)=7,DATE($B$2+0,7,1)-WEEKDAY(DATE($B$2+0,7,1),1)+1+6,"")</f>
        <v>46571</v>
      </c>
      <c r="I17" s="20">
        <f>IF(MONTH(DATE($B$2+0,8,1)-WEEKDAY(DATE($B$2+0,8,1),1)+1+0)=8,DATE($B$2+0,8,1)-WEEKDAY(DATE($B$2+0,8,1),1)+1+0,"")</f>
        <v>46600</v>
      </c>
      <c r="J17" s="20">
        <f>IF(MONTH(DATE($B$2+0,8,1)-WEEKDAY(DATE($B$2+0,8,1),1)+1+1)=8,DATE($B$2+0,8,1)-WEEKDAY(DATE($B$2+0,8,1),1)+1+1,"")</f>
        <v>46601</v>
      </c>
      <c r="K17" s="20">
        <f>IF(MONTH(DATE($B$2+0,8,1)-WEEKDAY(DATE($B$2+0,8,1),1)+1+2)=8,DATE($B$2+0,8,1)-WEEKDAY(DATE($B$2+0,8,1),1)+1+2,"")</f>
        <v>46602</v>
      </c>
      <c r="L17" s="20">
        <f>IF(MONTH(DATE($B$2+0,8,1)-WEEKDAY(DATE($B$2+0,8,1),1)+1+3)=8,DATE($B$2+0,8,1)-WEEKDAY(DATE($B$2+0,8,1),1)+1+3,"")</f>
        <v>46603</v>
      </c>
      <c r="M17" s="20">
        <f>IF(MONTH(DATE($B$2+0,8,1)-WEEKDAY(DATE($B$2+0,8,1),1)+1+4)=8,DATE($B$2+0,8,1)-WEEKDAY(DATE($B$2+0,8,1),1)+1+4,"")</f>
        <v>46604</v>
      </c>
      <c r="N17" s="20">
        <f>IF(MONTH(DATE($B$2+0,8,1)-WEEKDAY(DATE($B$2+0,8,1),1)+1+5)=8,DATE($B$2+0,8,1)-WEEKDAY(DATE($B$2+0,8,1),1)+1+5,"")</f>
        <v>46605</v>
      </c>
      <c r="O17" s="20">
        <f>IF(MONTH(DATE($B$2+0,8,1)-WEEKDAY(DATE($B$2+0,8,1),1)+1+6)=8,DATE($B$2+0,8,1)-WEEKDAY(DATE($B$2+0,8,1),1)+1+6,"")</f>
        <v>46606</v>
      </c>
      <c r="Q17" s="20" t="str">
        <f>IF(MONTH(DATE($B$2+0,9,1)-WEEKDAY(DATE($B$2+0,9,1),1)+1+0)=9,DATE($B$2+0,9,1)-WEEKDAY(DATE($B$2+0,9,1),1)+1+0,"")</f>
        <v/>
      </c>
      <c r="R17" s="20" t="str">
        <f>IF(MONTH(DATE($B$2+0,9,1)-WEEKDAY(DATE($B$2+0,9,1),1)+1+1)=9,DATE($B$2+0,9,1)-WEEKDAY(DATE($B$2+0,9,1),1)+1+1,"")</f>
        <v/>
      </c>
      <c r="S17" s="20" t="str">
        <f>IF(MONTH(DATE($B$2+0,9,1)-WEEKDAY(DATE($B$2+0,9,1),1)+1+2)=9,DATE($B$2+0,9,1)-WEEKDAY(DATE($B$2+0,9,1),1)+1+2,"")</f>
        <v/>
      </c>
      <c r="T17" s="20">
        <f>IF(MONTH(DATE($B$2+0,9,1)-WEEKDAY(DATE($B$2+0,9,1),1)+1+3)=9,DATE($B$2+0,9,1)-WEEKDAY(DATE($B$2+0,9,1),1)+1+3,"")</f>
        <v>46631</v>
      </c>
      <c r="U17" s="20">
        <f>IF(MONTH(DATE($B$2+0,9,1)-WEEKDAY(DATE($B$2+0,9,1),1)+1+4)=9,DATE($B$2+0,9,1)-WEEKDAY(DATE($B$2+0,9,1),1)+1+4,"")</f>
        <v>46632</v>
      </c>
      <c r="V17" s="20">
        <f>IF(MONTH(DATE($B$2+0,9,1)-WEEKDAY(DATE($B$2+0,9,1),1)+1+5)=9,DATE($B$2+0,9,1)-WEEKDAY(DATE($B$2+0,9,1),1)+1+5,"")</f>
        <v>46633</v>
      </c>
      <c r="W17" s="20">
        <f>IF(MONTH(DATE($B$2+0,9,1)-WEEKDAY(DATE($B$2+0,9,1),1)+1+6)=9,DATE($B$2+0,9,1)-WEEKDAY(DATE($B$2+0,9,1),1)+1+6,"")</f>
        <v>46634</v>
      </c>
    </row>
    <row r="18" spans="1:23" ht="19.8" customHeight="1" x14ac:dyDescent="0.2">
      <c r="A18" s="20">
        <f>IF(MONTH(DATE($B$2+0,7,1)-WEEKDAY(DATE($B$2+0,7,1),1)+1+7)=7,DATE($B$2+0,7,1)-WEEKDAY(DATE($B$2+0,7,1),1)+1+7,"")</f>
        <v>46572</v>
      </c>
      <c r="B18" s="20">
        <f>IF(MONTH(DATE($B$2+0,7,1)-WEEKDAY(DATE($B$2+0,7,1),1)+1+8)=7,DATE($B$2+0,7,1)-WEEKDAY(DATE($B$2+0,7,1),1)+1+8,"")</f>
        <v>46573</v>
      </c>
      <c r="C18" s="20">
        <f>IF(MONTH(DATE($B$2+0,7,1)-WEEKDAY(DATE($B$2+0,7,1),1)+1+9)=7,DATE($B$2+0,7,1)-WEEKDAY(DATE($B$2+0,7,1),1)+1+9,"")</f>
        <v>46574</v>
      </c>
      <c r="D18" s="20">
        <f>IF(MONTH(DATE($B$2+0,7,1)-WEEKDAY(DATE($B$2+0,7,1),1)+1+10)=7,DATE($B$2+0,7,1)-WEEKDAY(DATE($B$2+0,7,1),1)+1+10,"")</f>
        <v>46575</v>
      </c>
      <c r="E18" s="20">
        <f>IF(MONTH(DATE($B$2+0,7,1)-WEEKDAY(DATE($B$2+0,7,1),1)+1+11)=7,DATE($B$2+0,7,1)-WEEKDAY(DATE($B$2+0,7,1),1)+1+11,"")</f>
        <v>46576</v>
      </c>
      <c r="F18" s="20">
        <f>IF(MONTH(DATE($B$2+0,7,1)-WEEKDAY(DATE($B$2+0,7,1),1)+1+12)=7,DATE($B$2+0,7,1)-WEEKDAY(DATE($B$2+0,7,1),1)+1+12,"")</f>
        <v>46577</v>
      </c>
      <c r="G18" s="20">
        <f>IF(MONTH(DATE($B$2+0,7,1)-WEEKDAY(DATE($B$2+0,7,1),1)+1+13)=7,DATE($B$2+0,7,1)-WEEKDAY(DATE($B$2+0,7,1),1)+1+13,"")</f>
        <v>46578</v>
      </c>
      <c r="I18" s="20">
        <f>IF(MONTH(DATE($B$2+0,8,1)-WEEKDAY(DATE($B$2+0,8,1),1)+1+7)=8,DATE($B$2+0,8,1)-WEEKDAY(DATE($B$2+0,8,1),1)+1+7,"")</f>
        <v>46607</v>
      </c>
      <c r="J18" s="20">
        <f>IF(MONTH(DATE($B$2+0,8,1)-WEEKDAY(DATE($B$2+0,8,1),1)+1+8)=8,DATE($B$2+0,8,1)-WEEKDAY(DATE($B$2+0,8,1),1)+1+8,"")</f>
        <v>46608</v>
      </c>
      <c r="K18" s="20">
        <f>IF(MONTH(DATE($B$2+0,8,1)-WEEKDAY(DATE($B$2+0,8,1),1)+1+9)=8,DATE($B$2+0,8,1)-WEEKDAY(DATE($B$2+0,8,1),1)+1+9,"")</f>
        <v>46609</v>
      </c>
      <c r="L18" s="20">
        <f>IF(MONTH(DATE($B$2+0,8,1)-WEEKDAY(DATE($B$2+0,8,1),1)+1+10)=8,DATE($B$2+0,8,1)-WEEKDAY(DATE($B$2+0,8,1),1)+1+10,"")</f>
        <v>46610</v>
      </c>
      <c r="M18" s="20">
        <f>IF(MONTH(DATE($B$2+0,8,1)-WEEKDAY(DATE($B$2+0,8,1),1)+1+11)=8,DATE($B$2+0,8,1)-WEEKDAY(DATE($B$2+0,8,1),1)+1+11,"")</f>
        <v>46611</v>
      </c>
      <c r="N18" s="20">
        <f>IF(MONTH(DATE($B$2+0,8,1)-WEEKDAY(DATE($B$2+0,8,1),1)+1+12)=8,DATE($B$2+0,8,1)-WEEKDAY(DATE($B$2+0,8,1),1)+1+12,"")</f>
        <v>46612</v>
      </c>
      <c r="O18" s="20">
        <f>IF(MONTH(DATE($B$2+0,8,1)-WEEKDAY(DATE($B$2+0,8,1),1)+1+13)=8,DATE($B$2+0,8,1)-WEEKDAY(DATE($B$2+0,8,1),1)+1+13,"")</f>
        <v>46613</v>
      </c>
      <c r="Q18" s="20">
        <f>IF(MONTH(DATE($B$2+0,9,1)-WEEKDAY(DATE($B$2+0,9,1),1)+1+7)=9,DATE($B$2+0,9,1)-WEEKDAY(DATE($B$2+0,9,1),1)+1+7,"")</f>
        <v>46635</v>
      </c>
      <c r="R18" s="20">
        <f>IF(MONTH(DATE($B$2+0,9,1)-WEEKDAY(DATE($B$2+0,9,1),1)+1+8)=9,DATE($B$2+0,9,1)-WEEKDAY(DATE($B$2+0,9,1),1)+1+8,"")</f>
        <v>46636</v>
      </c>
      <c r="S18" s="20">
        <f>IF(MONTH(DATE($B$2+0,9,1)-WEEKDAY(DATE($B$2+0,9,1),1)+1+9)=9,DATE($B$2+0,9,1)-WEEKDAY(DATE($B$2+0,9,1),1)+1+9,"")</f>
        <v>46637</v>
      </c>
      <c r="T18" s="20">
        <f>IF(MONTH(DATE($B$2+0,9,1)-WEEKDAY(DATE($B$2+0,9,1),1)+1+10)=9,DATE($B$2+0,9,1)-WEEKDAY(DATE($B$2+0,9,1),1)+1+10,"")</f>
        <v>46638</v>
      </c>
      <c r="U18" s="20">
        <f>IF(MONTH(DATE($B$2+0,9,1)-WEEKDAY(DATE($B$2+0,9,1),1)+1+11)=9,DATE($B$2+0,9,1)-WEEKDAY(DATE($B$2+0,9,1),1)+1+11,"")</f>
        <v>46639</v>
      </c>
      <c r="V18" s="20">
        <f>IF(MONTH(DATE($B$2+0,9,1)-WEEKDAY(DATE($B$2+0,9,1),1)+1+12)=9,DATE($B$2+0,9,1)-WEEKDAY(DATE($B$2+0,9,1),1)+1+12,"")</f>
        <v>46640</v>
      </c>
      <c r="W18" s="20">
        <f>IF(MONTH(DATE($B$2+0,9,1)-WEEKDAY(DATE($B$2+0,9,1),1)+1+13)=9,DATE($B$2+0,9,1)-WEEKDAY(DATE($B$2+0,9,1),1)+1+13,"")</f>
        <v>46641</v>
      </c>
    </row>
    <row r="19" spans="1:23" ht="19.8" customHeight="1" x14ac:dyDescent="0.2">
      <c r="A19" s="20">
        <f>IF(MONTH(DATE($B$2+0,7,1)-WEEKDAY(DATE($B$2+0,7,1),1)+1+14)=7,DATE($B$2+0,7,1)-WEEKDAY(DATE($B$2+0,7,1),1)+1+14,"")</f>
        <v>46579</v>
      </c>
      <c r="B19" s="20">
        <f>IF(MONTH(DATE($B$2+0,7,1)-WEEKDAY(DATE($B$2+0,7,1),1)+1+15)=7,DATE($B$2+0,7,1)-WEEKDAY(DATE($B$2+0,7,1),1)+1+15,"")</f>
        <v>46580</v>
      </c>
      <c r="C19" s="20">
        <f>IF(MONTH(DATE($B$2+0,7,1)-WEEKDAY(DATE($B$2+0,7,1),1)+1+16)=7,DATE($B$2+0,7,1)-WEEKDAY(DATE($B$2+0,7,1),1)+1+16,"")</f>
        <v>46581</v>
      </c>
      <c r="D19" s="20">
        <f>IF(MONTH(DATE($B$2+0,7,1)-WEEKDAY(DATE($B$2+0,7,1),1)+1+17)=7,DATE($B$2+0,7,1)-WEEKDAY(DATE($B$2+0,7,1),1)+1+17,"")</f>
        <v>46582</v>
      </c>
      <c r="E19" s="20">
        <f>IF(MONTH(DATE($B$2+0,7,1)-WEEKDAY(DATE($B$2+0,7,1),1)+1+18)=7,DATE($B$2+0,7,1)-WEEKDAY(DATE($B$2+0,7,1),1)+1+18,"")</f>
        <v>46583</v>
      </c>
      <c r="F19" s="20">
        <f>IF(MONTH(DATE($B$2+0,7,1)-WEEKDAY(DATE($B$2+0,7,1),1)+1+19)=7,DATE($B$2+0,7,1)-WEEKDAY(DATE($B$2+0,7,1),1)+1+19,"")</f>
        <v>46584</v>
      </c>
      <c r="G19" s="20">
        <f>IF(MONTH(DATE($B$2+0,7,1)-WEEKDAY(DATE($B$2+0,7,1),1)+1+20)=7,DATE($B$2+0,7,1)-WEEKDAY(DATE($B$2+0,7,1),1)+1+20,"")</f>
        <v>46585</v>
      </c>
      <c r="I19" s="20">
        <f>IF(MONTH(DATE($B$2+0,8,1)-WEEKDAY(DATE($B$2+0,8,1),1)+1+14)=8,DATE($B$2+0,8,1)-WEEKDAY(DATE($B$2+0,8,1),1)+1+14,"")</f>
        <v>46614</v>
      </c>
      <c r="J19" s="20">
        <f>IF(MONTH(DATE($B$2+0,8,1)-WEEKDAY(DATE($B$2+0,8,1),1)+1+15)=8,DATE($B$2+0,8,1)-WEEKDAY(DATE($B$2+0,8,1),1)+1+15,"")</f>
        <v>46615</v>
      </c>
      <c r="K19" s="20">
        <f>IF(MONTH(DATE($B$2+0,8,1)-WEEKDAY(DATE($B$2+0,8,1),1)+1+16)=8,DATE($B$2+0,8,1)-WEEKDAY(DATE($B$2+0,8,1),1)+1+16,"")</f>
        <v>46616</v>
      </c>
      <c r="L19" s="20">
        <f>IF(MONTH(DATE($B$2+0,8,1)-WEEKDAY(DATE($B$2+0,8,1),1)+1+17)=8,DATE($B$2+0,8,1)-WEEKDAY(DATE($B$2+0,8,1),1)+1+17,"")</f>
        <v>46617</v>
      </c>
      <c r="M19" s="20">
        <f>IF(MONTH(DATE($B$2+0,8,1)-WEEKDAY(DATE($B$2+0,8,1),1)+1+18)=8,DATE($B$2+0,8,1)-WEEKDAY(DATE($B$2+0,8,1),1)+1+18,"")</f>
        <v>46618</v>
      </c>
      <c r="N19" s="20">
        <f>IF(MONTH(DATE($B$2+0,8,1)-WEEKDAY(DATE($B$2+0,8,1),1)+1+19)=8,DATE($B$2+0,8,1)-WEEKDAY(DATE($B$2+0,8,1),1)+1+19,"")</f>
        <v>46619</v>
      </c>
      <c r="O19" s="20">
        <f>IF(MONTH(DATE($B$2+0,8,1)-WEEKDAY(DATE($B$2+0,8,1),1)+1+20)=8,DATE($B$2+0,8,1)-WEEKDAY(DATE($B$2+0,8,1),1)+1+20,"")</f>
        <v>46620</v>
      </c>
      <c r="Q19" s="20">
        <f>IF(MONTH(DATE($B$2+0,9,1)-WEEKDAY(DATE($B$2+0,9,1),1)+1+14)=9,DATE($B$2+0,9,1)-WEEKDAY(DATE($B$2+0,9,1),1)+1+14,"")</f>
        <v>46642</v>
      </c>
      <c r="R19" s="20">
        <f>IF(MONTH(DATE($B$2+0,9,1)-WEEKDAY(DATE($B$2+0,9,1),1)+1+15)=9,DATE($B$2+0,9,1)-WEEKDAY(DATE($B$2+0,9,1),1)+1+15,"")</f>
        <v>46643</v>
      </c>
      <c r="S19" s="20">
        <f>IF(MONTH(DATE($B$2+0,9,1)-WEEKDAY(DATE($B$2+0,9,1),1)+1+16)=9,DATE($B$2+0,9,1)-WEEKDAY(DATE($B$2+0,9,1),1)+1+16,"")</f>
        <v>46644</v>
      </c>
      <c r="T19" s="20">
        <f>IF(MONTH(DATE($B$2+0,9,1)-WEEKDAY(DATE($B$2+0,9,1),1)+1+17)=9,DATE($B$2+0,9,1)-WEEKDAY(DATE($B$2+0,9,1),1)+1+17,"")</f>
        <v>46645</v>
      </c>
      <c r="U19" s="20">
        <f>IF(MONTH(DATE($B$2+0,9,1)-WEEKDAY(DATE($B$2+0,9,1),1)+1+18)=9,DATE($B$2+0,9,1)-WEEKDAY(DATE($B$2+0,9,1),1)+1+18,"")</f>
        <v>46646</v>
      </c>
      <c r="V19" s="20">
        <f>IF(MONTH(DATE($B$2+0,9,1)-WEEKDAY(DATE($B$2+0,9,1),1)+1+19)=9,DATE($B$2+0,9,1)-WEEKDAY(DATE($B$2+0,9,1),1)+1+19,"")</f>
        <v>46647</v>
      </c>
      <c r="W19" s="20">
        <f>IF(MONTH(DATE($B$2+0,9,1)-WEEKDAY(DATE($B$2+0,9,1),1)+1+20)=9,DATE($B$2+0,9,1)-WEEKDAY(DATE($B$2+0,9,1),1)+1+20,"")</f>
        <v>46648</v>
      </c>
    </row>
    <row r="20" spans="1:23" ht="19.8" customHeight="1" x14ac:dyDescent="0.2">
      <c r="A20" s="20">
        <f>IF(MONTH(DATE($B$2+0,7,1)-WEEKDAY(DATE($B$2+0,7,1),1)+1+21)=7,DATE($B$2+0,7,1)-WEEKDAY(DATE($B$2+0,7,1),1)+1+21,"")</f>
        <v>46586</v>
      </c>
      <c r="B20" s="20">
        <f>IF(MONTH(DATE($B$2+0,7,1)-WEEKDAY(DATE($B$2+0,7,1),1)+1+22)=7,DATE($B$2+0,7,1)-WEEKDAY(DATE($B$2+0,7,1),1)+1+22,"")</f>
        <v>46587</v>
      </c>
      <c r="C20" s="20">
        <f>IF(MONTH(DATE($B$2+0,7,1)-WEEKDAY(DATE($B$2+0,7,1),1)+1+23)=7,DATE($B$2+0,7,1)-WEEKDAY(DATE($B$2+0,7,1),1)+1+23,"")</f>
        <v>46588</v>
      </c>
      <c r="D20" s="20">
        <f>IF(MONTH(DATE($B$2+0,7,1)-WEEKDAY(DATE($B$2+0,7,1),1)+1+24)=7,DATE($B$2+0,7,1)-WEEKDAY(DATE($B$2+0,7,1),1)+1+24,"")</f>
        <v>46589</v>
      </c>
      <c r="E20" s="20">
        <f>IF(MONTH(DATE($B$2+0,7,1)-WEEKDAY(DATE($B$2+0,7,1),1)+1+25)=7,DATE($B$2+0,7,1)-WEEKDAY(DATE($B$2+0,7,1),1)+1+25,"")</f>
        <v>46590</v>
      </c>
      <c r="F20" s="20">
        <f>IF(MONTH(DATE($B$2+0,7,1)-WEEKDAY(DATE($B$2+0,7,1),1)+1+26)=7,DATE($B$2+0,7,1)-WEEKDAY(DATE($B$2+0,7,1),1)+1+26,"")</f>
        <v>46591</v>
      </c>
      <c r="G20" s="20">
        <f>IF(MONTH(DATE($B$2+0,7,1)-WEEKDAY(DATE($B$2+0,7,1),1)+1+27)=7,DATE($B$2+0,7,1)-WEEKDAY(DATE($B$2+0,7,1),1)+1+27,"")</f>
        <v>46592</v>
      </c>
      <c r="I20" s="20">
        <f>IF(MONTH(DATE($B$2+0,8,1)-WEEKDAY(DATE($B$2+0,8,1),1)+1+21)=8,DATE($B$2+0,8,1)-WEEKDAY(DATE($B$2+0,8,1),1)+1+21,"")</f>
        <v>46621</v>
      </c>
      <c r="J20" s="20">
        <f>IF(MONTH(DATE($B$2+0,8,1)-WEEKDAY(DATE($B$2+0,8,1),1)+1+22)=8,DATE($B$2+0,8,1)-WEEKDAY(DATE($B$2+0,8,1),1)+1+22,"")</f>
        <v>46622</v>
      </c>
      <c r="K20" s="20">
        <f>IF(MONTH(DATE($B$2+0,8,1)-WEEKDAY(DATE($B$2+0,8,1),1)+1+23)=8,DATE($B$2+0,8,1)-WEEKDAY(DATE($B$2+0,8,1),1)+1+23,"")</f>
        <v>46623</v>
      </c>
      <c r="L20" s="20">
        <f>IF(MONTH(DATE($B$2+0,8,1)-WEEKDAY(DATE($B$2+0,8,1),1)+1+24)=8,DATE($B$2+0,8,1)-WEEKDAY(DATE($B$2+0,8,1),1)+1+24,"")</f>
        <v>46624</v>
      </c>
      <c r="M20" s="20">
        <f>IF(MONTH(DATE($B$2+0,8,1)-WEEKDAY(DATE($B$2+0,8,1),1)+1+25)=8,DATE($B$2+0,8,1)-WEEKDAY(DATE($B$2+0,8,1),1)+1+25,"")</f>
        <v>46625</v>
      </c>
      <c r="N20" s="20">
        <f>IF(MONTH(DATE($B$2+0,8,1)-WEEKDAY(DATE($B$2+0,8,1),1)+1+26)=8,DATE($B$2+0,8,1)-WEEKDAY(DATE($B$2+0,8,1),1)+1+26,"")</f>
        <v>46626</v>
      </c>
      <c r="O20" s="20">
        <f>IF(MONTH(DATE($B$2+0,8,1)-WEEKDAY(DATE($B$2+0,8,1),1)+1+27)=8,DATE($B$2+0,8,1)-WEEKDAY(DATE($B$2+0,8,1),1)+1+27,"")</f>
        <v>46627</v>
      </c>
      <c r="Q20" s="20">
        <f>IF(MONTH(DATE($B$2+0,9,1)-WEEKDAY(DATE($B$2+0,9,1),1)+1+21)=9,DATE($B$2+0,9,1)-WEEKDAY(DATE($B$2+0,9,1),1)+1+21,"")</f>
        <v>46649</v>
      </c>
      <c r="R20" s="20">
        <f>IF(MONTH(DATE($B$2+0,9,1)-WEEKDAY(DATE($B$2+0,9,1),1)+1+22)=9,DATE($B$2+0,9,1)-WEEKDAY(DATE($B$2+0,9,1),1)+1+22,"")</f>
        <v>46650</v>
      </c>
      <c r="S20" s="20">
        <f>IF(MONTH(DATE($B$2+0,9,1)-WEEKDAY(DATE($B$2+0,9,1),1)+1+23)=9,DATE($B$2+0,9,1)-WEEKDAY(DATE($B$2+0,9,1),1)+1+23,"")</f>
        <v>46651</v>
      </c>
      <c r="T20" s="20">
        <f>IF(MONTH(DATE($B$2+0,9,1)-WEEKDAY(DATE($B$2+0,9,1),1)+1+24)=9,DATE($B$2+0,9,1)-WEEKDAY(DATE($B$2+0,9,1),1)+1+24,"")</f>
        <v>46652</v>
      </c>
      <c r="U20" s="20">
        <f>IF(MONTH(DATE($B$2+0,9,1)-WEEKDAY(DATE($B$2+0,9,1),1)+1+25)=9,DATE($B$2+0,9,1)-WEEKDAY(DATE($B$2+0,9,1),1)+1+25,"")</f>
        <v>46653</v>
      </c>
      <c r="V20" s="20">
        <f>IF(MONTH(DATE($B$2+0,9,1)-WEEKDAY(DATE($B$2+0,9,1),1)+1+26)=9,DATE($B$2+0,9,1)-WEEKDAY(DATE($B$2+0,9,1),1)+1+26,"")</f>
        <v>46654</v>
      </c>
      <c r="W20" s="20">
        <f>IF(MONTH(DATE($B$2+0,9,1)-WEEKDAY(DATE($B$2+0,9,1),1)+1+27)=9,DATE($B$2+0,9,1)-WEEKDAY(DATE($B$2+0,9,1),1)+1+27,"")</f>
        <v>46655</v>
      </c>
    </row>
    <row r="21" spans="1:23" ht="19.8" customHeight="1" x14ac:dyDescent="0.2">
      <c r="A21" s="20">
        <f>IF(MONTH(DATE($B$2+0,7,1)-WEEKDAY(DATE($B$2+0,7,1),1)+1+28)=7,DATE($B$2+0,7,1)-WEEKDAY(DATE($B$2+0,7,1),1)+1+28,"")</f>
        <v>46593</v>
      </c>
      <c r="B21" s="20">
        <f>IF(MONTH(DATE($B$2+0,7,1)-WEEKDAY(DATE($B$2+0,7,1),1)+1+29)=7,DATE($B$2+0,7,1)-WEEKDAY(DATE($B$2+0,7,1),1)+1+29,"")</f>
        <v>46594</v>
      </c>
      <c r="C21" s="20">
        <f>IF(MONTH(DATE($B$2+0,7,1)-WEEKDAY(DATE($B$2+0,7,1),1)+1+30)=7,DATE($B$2+0,7,1)-WEEKDAY(DATE($B$2+0,7,1),1)+1+30,"")</f>
        <v>46595</v>
      </c>
      <c r="D21" s="20">
        <f>IF(MONTH(DATE($B$2+0,7,1)-WEEKDAY(DATE($B$2+0,7,1),1)+1+31)=7,DATE($B$2+0,7,1)-WEEKDAY(DATE($B$2+0,7,1),1)+1+31,"")</f>
        <v>46596</v>
      </c>
      <c r="E21" s="20">
        <f>IF(MONTH(DATE($B$2+0,7,1)-WEEKDAY(DATE($B$2+0,7,1),1)+1+32)=7,DATE($B$2+0,7,1)-WEEKDAY(DATE($B$2+0,7,1),1)+1+32,"")</f>
        <v>46597</v>
      </c>
      <c r="F21" s="20">
        <f>IF(MONTH(DATE($B$2+0,7,1)-WEEKDAY(DATE($B$2+0,7,1),1)+1+33)=7,DATE($B$2+0,7,1)-WEEKDAY(DATE($B$2+0,7,1),1)+1+33,"")</f>
        <v>46598</v>
      </c>
      <c r="G21" s="20">
        <f>IF(MONTH(DATE($B$2+0,7,1)-WEEKDAY(DATE($B$2+0,7,1),1)+1+34)=7,DATE($B$2+0,7,1)-WEEKDAY(DATE($B$2+0,7,1),1)+1+34,"")</f>
        <v>46599</v>
      </c>
      <c r="I21" s="20">
        <f>IF(MONTH(DATE($B$2+0,8,1)-WEEKDAY(DATE($B$2+0,8,1),1)+1+28)=8,DATE($B$2+0,8,1)-WEEKDAY(DATE($B$2+0,8,1),1)+1+28,"")</f>
        <v>46628</v>
      </c>
      <c r="J21" s="20">
        <f>IF(MONTH(DATE($B$2+0,8,1)-WEEKDAY(DATE($B$2+0,8,1),1)+1+29)=8,DATE($B$2+0,8,1)-WEEKDAY(DATE($B$2+0,8,1),1)+1+29,"")</f>
        <v>46629</v>
      </c>
      <c r="K21" s="20">
        <f>IF(MONTH(DATE($B$2+0,8,1)-WEEKDAY(DATE($B$2+0,8,1),1)+1+30)=8,DATE($B$2+0,8,1)-WEEKDAY(DATE($B$2+0,8,1),1)+1+30,"")</f>
        <v>46630</v>
      </c>
      <c r="L21" s="20" t="str">
        <f>IF(MONTH(DATE($B$2+0,8,1)-WEEKDAY(DATE($B$2+0,8,1),1)+1+31)=8,DATE($B$2+0,8,1)-WEEKDAY(DATE($B$2+0,8,1),1)+1+31,"")</f>
        <v/>
      </c>
      <c r="M21" s="20" t="str">
        <f>IF(MONTH(DATE($B$2+0,8,1)-WEEKDAY(DATE($B$2+0,8,1),1)+1+32)=8,DATE($B$2+0,8,1)-WEEKDAY(DATE($B$2+0,8,1),1)+1+32,"")</f>
        <v/>
      </c>
      <c r="N21" s="20" t="str">
        <f>IF(MONTH(DATE($B$2+0,8,1)-WEEKDAY(DATE($B$2+0,8,1),1)+1+33)=8,DATE($B$2+0,8,1)-WEEKDAY(DATE($B$2+0,8,1),1)+1+33,"")</f>
        <v/>
      </c>
      <c r="O21" s="20" t="str">
        <f>IF(MONTH(DATE($B$2+0,8,1)-WEEKDAY(DATE($B$2+0,8,1),1)+1+34)=8,DATE($B$2+0,8,1)-WEEKDAY(DATE($B$2+0,8,1),1)+1+34,"")</f>
        <v/>
      </c>
      <c r="Q21" s="20">
        <f>IF(MONTH(DATE($B$2+0,9,1)-WEEKDAY(DATE($B$2+0,9,1),1)+1+28)=9,DATE($B$2+0,9,1)-WEEKDAY(DATE($B$2+0,9,1),1)+1+28,"")</f>
        <v>46656</v>
      </c>
      <c r="R21" s="20">
        <f>IF(MONTH(DATE($B$2+0,9,1)-WEEKDAY(DATE($B$2+0,9,1),1)+1+29)=9,DATE($B$2+0,9,1)-WEEKDAY(DATE($B$2+0,9,1),1)+1+29,"")</f>
        <v>46657</v>
      </c>
      <c r="S21" s="20">
        <f>IF(MONTH(DATE($B$2+0,9,1)-WEEKDAY(DATE($B$2+0,9,1),1)+1+30)=9,DATE($B$2+0,9,1)-WEEKDAY(DATE($B$2+0,9,1),1)+1+30,"")</f>
        <v>46658</v>
      </c>
      <c r="T21" s="20">
        <f>IF(MONTH(DATE($B$2+0,9,1)-WEEKDAY(DATE($B$2+0,9,1),1)+1+31)=9,DATE($B$2+0,9,1)-WEEKDAY(DATE($B$2+0,9,1),1)+1+31,"")</f>
        <v>46659</v>
      </c>
      <c r="U21" s="20">
        <f>IF(MONTH(DATE($B$2+0,9,1)-WEEKDAY(DATE($B$2+0,9,1),1)+1+32)=9,DATE($B$2+0,9,1)-WEEKDAY(DATE($B$2+0,9,1),1)+1+32,"")</f>
        <v>46660</v>
      </c>
      <c r="V21" s="20" t="str">
        <f>IF(MONTH(DATE($B$2+0,9,1)-WEEKDAY(DATE($B$2+0,9,1),1)+1+33)=9,DATE($B$2+0,9,1)-WEEKDAY(DATE($B$2+0,9,1),1)+1+33,"")</f>
        <v/>
      </c>
      <c r="W21" s="20" t="str">
        <f>IF(MONTH(DATE($B$2+0,9,1)-WEEKDAY(DATE($B$2+0,9,1),1)+1+34)=9,DATE($B$2+0,9,1)-WEEKDAY(DATE($B$2+0,9,1),1)+1+34,"")</f>
        <v/>
      </c>
    </row>
    <row r="22" spans="1:23" ht="19.8" customHeight="1" x14ac:dyDescent="0.2">
      <c r="A22" s="20" t="str">
        <f>IF(MONTH(DATE($B$2+0,7,1)-WEEKDAY(DATE($B$2+0,7,1),1)+1+35)=7,DATE($B$2+0,7,1)-WEEKDAY(DATE($B$2+0,7,1),1)+1+35,"")</f>
        <v/>
      </c>
      <c r="B22" s="20" t="str">
        <f>IF(MONTH(DATE($B$2+0,7,1)-WEEKDAY(DATE($B$2+0,7,1),1)+1+36)=7,DATE($B$2+0,7,1)-WEEKDAY(DATE($B$2+0,7,1),1)+1+36,"")</f>
        <v/>
      </c>
      <c r="C22" s="20" t="str">
        <f>IF(MONTH(DATE($B$2+0,7,1)-WEEKDAY(DATE($B$2+0,7,1),1)+1+37)=7,DATE($B$2+0,7,1)-WEEKDAY(DATE($B$2+0,7,1),1)+1+37,"")</f>
        <v/>
      </c>
      <c r="D22" s="20" t="str">
        <f>IF(MONTH(DATE($B$2+0,7,1)-WEEKDAY(DATE($B$2+0,7,1),1)+1+38)=7,DATE($B$2+0,7,1)-WEEKDAY(DATE($B$2+0,7,1),1)+1+38,"")</f>
        <v/>
      </c>
      <c r="E22" s="20" t="str">
        <f>IF(MONTH(DATE($B$2+0,7,1)-WEEKDAY(DATE($B$2+0,7,1),1)+1+39)=7,DATE($B$2+0,7,1)-WEEKDAY(DATE($B$2+0,7,1),1)+1+39,"")</f>
        <v/>
      </c>
      <c r="F22" s="20" t="str">
        <f>IF(MONTH(DATE($B$2+0,7,1)-WEEKDAY(DATE($B$2+0,7,1),1)+1+40)=7,DATE($B$2+0,7,1)-WEEKDAY(DATE($B$2+0,7,1),1)+1+40,"")</f>
        <v/>
      </c>
      <c r="G22" s="20" t="str">
        <f>IF(MONTH(DATE($B$2+0,7,1)-WEEKDAY(DATE($B$2+0,7,1),1)+1+41)=7,DATE($B$2+0,7,1)-WEEKDAY(DATE($B$2+0,7,1),1)+1+41,"")</f>
        <v/>
      </c>
      <c r="I22" s="20" t="str">
        <f>IF(MONTH(DATE($B$2+0,8,1)-WEEKDAY(DATE($B$2+0,8,1),1)+1+35)=8,DATE($B$2+0,8,1)-WEEKDAY(DATE($B$2+0,8,1),1)+1+35,"")</f>
        <v/>
      </c>
      <c r="J22" s="20" t="str">
        <f>IF(MONTH(DATE($B$2+0,8,1)-WEEKDAY(DATE($B$2+0,8,1),1)+1+36)=8,DATE($B$2+0,8,1)-WEEKDAY(DATE($B$2+0,8,1),1)+1+36,"")</f>
        <v/>
      </c>
      <c r="K22" s="20" t="str">
        <f>IF(MONTH(DATE($B$2+0,8,1)-WEEKDAY(DATE($B$2+0,8,1),1)+1+37)=8,DATE($B$2+0,8,1)-WEEKDAY(DATE($B$2+0,8,1),1)+1+37,"")</f>
        <v/>
      </c>
      <c r="L22" s="20" t="str">
        <f>IF(MONTH(DATE($B$2+0,8,1)-WEEKDAY(DATE($B$2+0,8,1),1)+1+38)=8,DATE($B$2+0,8,1)-WEEKDAY(DATE($B$2+0,8,1),1)+1+38,"")</f>
        <v/>
      </c>
      <c r="M22" s="20" t="str">
        <f>IF(MONTH(DATE($B$2+0,8,1)-WEEKDAY(DATE($B$2+0,8,1),1)+1+39)=8,DATE($B$2+0,8,1)-WEEKDAY(DATE($B$2+0,8,1),1)+1+39,"")</f>
        <v/>
      </c>
      <c r="N22" s="20" t="str">
        <f>IF(MONTH(DATE($B$2+0,8,1)-WEEKDAY(DATE($B$2+0,8,1),1)+1+40)=8,DATE($B$2+0,8,1)-WEEKDAY(DATE($B$2+0,8,1),1)+1+40,"")</f>
        <v/>
      </c>
      <c r="O22" s="20" t="str">
        <f>IF(MONTH(DATE($B$2+0,8,1)-WEEKDAY(DATE($B$2+0,8,1),1)+1+41)=8,DATE($B$2+0,8,1)-WEEKDAY(DATE($B$2+0,8,1),1)+1+41,"")</f>
        <v/>
      </c>
      <c r="Q22" s="20" t="str">
        <f>IF(MONTH(DATE($B$2+0,9,1)-WEEKDAY(DATE($B$2+0,9,1),1)+1+35)=9,DATE($B$2+0,9,1)-WEEKDAY(DATE($B$2+0,9,1),1)+1+35,"")</f>
        <v/>
      </c>
      <c r="R22" s="20" t="str">
        <f>IF(MONTH(DATE($B$2+0,9,1)-WEEKDAY(DATE($B$2+0,9,1),1)+1+36)=9,DATE($B$2+0,9,1)-WEEKDAY(DATE($B$2+0,9,1),1)+1+36,"")</f>
        <v/>
      </c>
      <c r="S22" s="20" t="str">
        <f>IF(MONTH(DATE($B$2+0,9,1)-WEEKDAY(DATE($B$2+0,9,1),1)+1+37)=9,DATE($B$2+0,9,1)-WEEKDAY(DATE($B$2+0,9,1),1)+1+37,"")</f>
        <v/>
      </c>
      <c r="T22" s="20" t="str">
        <f>IF(MONTH(DATE($B$2+0,9,1)-WEEKDAY(DATE($B$2+0,9,1),1)+1+38)=9,DATE($B$2+0,9,1)-WEEKDAY(DATE($B$2+0,9,1),1)+1+38,"")</f>
        <v/>
      </c>
      <c r="U22" s="20" t="str">
        <f>IF(MONTH(DATE($B$2+0,9,1)-WEEKDAY(DATE($B$2+0,9,1),1)+1+39)=9,DATE($B$2+0,9,1)-WEEKDAY(DATE($B$2+0,9,1),1)+1+39,"")</f>
        <v/>
      </c>
      <c r="V22" s="20" t="str">
        <f>IF(MONTH(DATE($B$2+0,9,1)-WEEKDAY(DATE($B$2+0,9,1),1)+1+40)=9,DATE($B$2+0,9,1)-WEEKDAY(DATE($B$2+0,9,1),1)+1+40,"")</f>
        <v/>
      </c>
      <c r="W22" s="20" t="str">
        <f>IF(MONTH(DATE($B$2+0,9,1)-WEEKDAY(DATE($B$2+0,9,1),1)+1+41)=9,DATE($B$2+0,9,1)-WEEKDAY(DATE($B$2+0,9,1),1)+1+41,"")</f>
        <v/>
      </c>
    </row>
    <row r="23" spans="1:23" ht="10.050000000000001" customHeight="1" x14ac:dyDescent="0.2">
      <c r="A23" s="12"/>
      <c r="B23" s="12"/>
      <c r="C23" s="13"/>
      <c r="D23" s="13"/>
      <c r="E23" s="13"/>
      <c r="F23" s="13"/>
      <c r="G23" s="13"/>
      <c r="I23" s="11"/>
      <c r="J23" s="11"/>
      <c r="K23" s="11"/>
      <c r="L23" s="13"/>
      <c r="M23" s="13"/>
      <c r="N23" s="13"/>
      <c r="O23" s="13"/>
      <c r="Q23" s="13"/>
      <c r="R23" s="13"/>
      <c r="S23" s="13"/>
      <c r="T23" s="13"/>
      <c r="U23" s="13"/>
      <c r="V23" s="13"/>
      <c r="W23" s="13"/>
    </row>
    <row r="24" spans="1:23" ht="22.8" customHeight="1" x14ac:dyDescent="0.3">
      <c r="A24" s="23">
        <f>$B$2</f>
        <v>2027</v>
      </c>
      <c r="B24" s="23"/>
      <c r="C24" s="24" t="str">
        <f>10&amp;"月"</f>
        <v>10月</v>
      </c>
      <c r="D24" s="24"/>
      <c r="E24" s="24"/>
      <c r="F24" s="25"/>
      <c r="G24" s="25"/>
      <c r="I24" s="23">
        <f>$B$2</f>
        <v>2027</v>
      </c>
      <c r="J24" s="23"/>
      <c r="K24" s="24" t="str">
        <f>11&amp;"月"</f>
        <v>11月</v>
      </c>
      <c r="L24" s="24"/>
      <c r="M24" s="24"/>
      <c r="N24" s="25"/>
      <c r="O24" s="25"/>
      <c r="Q24" s="23">
        <f>$B$2</f>
        <v>2027</v>
      </c>
      <c r="R24" s="23"/>
      <c r="S24" s="24" t="str">
        <f>12&amp;"月"</f>
        <v>12月</v>
      </c>
      <c r="T24" s="24"/>
      <c r="U24" s="24"/>
      <c r="V24" s="25"/>
      <c r="W24" s="25"/>
    </row>
    <row r="25" spans="1:23" ht="3.75" customHeight="1" x14ac:dyDescent="0.2">
      <c r="A25" s="9"/>
      <c r="B25" s="9"/>
      <c r="C25" s="2"/>
      <c r="D25" s="1"/>
      <c r="E25" s="1"/>
      <c r="K25" s="2"/>
      <c r="L25" s="1"/>
      <c r="M25" s="1"/>
      <c r="S25" s="2"/>
      <c r="T25" s="1"/>
      <c r="U25" s="1"/>
    </row>
    <row r="26" spans="1:23" ht="19.8" customHeight="1" x14ac:dyDescent="0.2">
      <c r="A26" s="3" t="s">
        <v>2</v>
      </c>
      <c r="B26" s="4" t="s">
        <v>1</v>
      </c>
      <c r="C26" s="4" t="s">
        <v>3</v>
      </c>
      <c r="D26" s="4" t="s">
        <v>4</v>
      </c>
      <c r="E26" s="4" t="s">
        <v>5</v>
      </c>
      <c r="F26" s="4" t="s">
        <v>6</v>
      </c>
      <c r="G26" s="5" t="s">
        <v>7</v>
      </c>
      <c r="I26" s="3" t="s">
        <v>2</v>
      </c>
      <c r="J26" s="4" t="s">
        <v>1</v>
      </c>
      <c r="K26" s="4" t="s">
        <v>3</v>
      </c>
      <c r="L26" s="4" t="s">
        <v>4</v>
      </c>
      <c r="M26" s="4" t="s">
        <v>5</v>
      </c>
      <c r="N26" s="4" t="s">
        <v>6</v>
      </c>
      <c r="O26" s="5" t="s">
        <v>7</v>
      </c>
      <c r="Q26" s="3" t="s">
        <v>2</v>
      </c>
      <c r="R26" s="4" t="s">
        <v>1</v>
      </c>
      <c r="S26" s="4" t="s">
        <v>3</v>
      </c>
      <c r="T26" s="4" t="s">
        <v>4</v>
      </c>
      <c r="U26" s="4" t="s">
        <v>5</v>
      </c>
      <c r="V26" s="4" t="s">
        <v>6</v>
      </c>
      <c r="W26" s="5" t="s">
        <v>7</v>
      </c>
    </row>
    <row r="27" spans="1:23" ht="19.8" customHeight="1" x14ac:dyDescent="0.2">
      <c r="A27" s="20" t="str">
        <f>IF(MONTH(DATE($B$2+0,10,1)-WEEKDAY(DATE($B$2+0,10,1),1)+1+0)=10,DATE($B$2+0,10,1)-WEEKDAY(DATE($B$2+0,10,1),1)+1+0,"")</f>
        <v/>
      </c>
      <c r="B27" s="20" t="str">
        <f>IF(MONTH(DATE($B$2+0,10,1)-WEEKDAY(DATE($B$2+0,10,1),1)+1+1)=10,DATE($B$2+0,10,1)-WEEKDAY(DATE($B$2+0,10,1),1)+1+1,"")</f>
        <v/>
      </c>
      <c r="C27" s="20" t="str">
        <f>IF(MONTH(DATE($B$2+0,10,1)-WEEKDAY(DATE($B$2+0,10,1),1)+1+2)=10,DATE($B$2+0,10,1)-WEEKDAY(DATE($B$2+0,10,1),1)+1+2,"")</f>
        <v/>
      </c>
      <c r="D27" s="20" t="str">
        <f>IF(MONTH(DATE($B$2+0,10,1)-WEEKDAY(DATE($B$2+0,10,1),1)+1+3)=10,DATE($B$2+0,10,1)-WEEKDAY(DATE($B$2+0,10,1),1)+1+3,"")</f>
        <v/>
      </c>
      <c r="E27" s="20" t="str">
        <f>IF(MONTH(DATE($B$2+0,10,1)-WEEKDAY(DATE($B$2+0,10,1),1)+1+4)=10,DATE($B$2+0,10,1)-WEEKDAY(DATE($B$2+0,10,1),1)+1+4,"")</f>
        <v/>
      </c>
      <c r="F27" s="20">
        <f>IF(MONTH(DATE($B$2+0,10,1)-WEEKDAY(DATE($B$2+0,10,1),1)+1+5)=10,DATE($B$2+0,10,1)-WEEKDAY(DATE($B$2+0,10,1),1)+1+5,"")</f>
        <v>46661</v>
      </c>
      <c r="G27" s="20">
        <f>IF(MONTH(DATE($B$2+0,10,1)-WEEKDAY(DATE($B$2+0,10,1),1)+1+6)=10,DATE($B$2+0,10,1)-WEEKDAY(DATE($B$2+0,10,1),1)+1+6,"")</f>
        <v>46662</v>
      </c>
      <c r="I27" s="20" t="str">
        <f>IF(MONTH(DATE($B$2+0,11,1)-WEEKDAY(DATE($B$2+0,11,1),1)+1+0)=11,DATE($B$2+0,11,1)-WEEKDAY(DATE($B$2+0,11,1),1)+1+0,"")</f>
        <v/>
      </c>
      <c r="J27" s="20">
        <f>IF(MONTH(DATE($B$2+0,11,1)-WEEKDAY(DATE($B$2+0,11,1),1)+1+1)=11,DATE($B$2+0,11,1)-WEEKDAY(DATE($B$2+0,11,1),1)+1+1,"")</f>
        <v>46692</v>
      </c>
      <c r="K27" s="20">
        <f>IF(MONTH(DATE($B$2+0,11,1)-WEEKDAY(DATE($B$2+0,11,1),1)+1+2)=11,DATE($B$2+0,11,1)-WEEKDAY(DATE($B$2+0,11,1),1)+1+2,"")</f>
        <v>46693</v>
      </c>
      <c r="L27" s="20">
        <f>IF(MONTH(DATE($B$2+0,11,1)-WEEKDAY(DATE($B$2+0,11,1),1)+1+3)=11,DATE($B$2+0,11,1)-WEEKDAY(DATE($B$2+0,11,1),1)+1+3,"")</f>
        <v>46694</v>
      </c>
      <c r="M27" s="20">
        <f>IF(MONTH(DATE($B$2+0,11,1)-WEEKDAY(DATE($B$2+0,11,1),1)+1+4)=11,DATE($B$2+0,11,1)-WEEKDAY(DATE($B$2+0,11,1),1)+1+4,"")</f>
        <v>46695</v>
      </c>
      <c r="N27" s="20">
        <f>IF(MONTH(DATE($B$2+0,11,1)-WEEKDAY(DATE($B$2+0,11,1),1)+1+5)=11,DATE($B$2+0,11,1)-WEEKDAY(DATE($B$2+0,11,1),1)+1+5,"")</f>
        <v>46696</v>
      </c>
      <c r="O27" s="20">
        <f>IF(MONTH(DATE($B$2+0,11,1)-WEEKDAY(DATE($B$2+0,11,1),1)+1+6)=11,DATE($B$2+0,11,1)-WEEKDAY(DATE($B$2+0,11,1),1)+1+6,"")</f>
        <v>46697</v>
      </c>
      <c r="Q27" s="20" t="str">
        <f>IF(MONTH(DATE($B$2+0,12,1)-WEEKDAY(DATE($B$2+0,12,1),1)+1+0)=12,DATE($B$2+0,12,1)-WEEKDAY(DATE($B$2+0,12,1),1)+1+0,"")</f>
        <v/>
      </c>
      <c r="R27" s="20" t="str">
        <f>IF(MONTH(DATE($B$2+0,12,1)-WEEKDAY(DATE($B$2+0,12,1),1)+1+1)=12,DATE($B$2+0,12,1)-WEEKDAY(DATE($B$2+0,12,1),1)+1+1,"")</f>
        <v/>
      </c>
      <c r="S27" s="20" t="str">
        <f>IF(MONTH(DATE($B$2+0,12,1)-WEEKDAY(DATE($B$2+0,12,1),1)+1+2)=12,DATE($B$2+0,12,1)-WEEKDAY(DATE($B$2+0,12,1),1)+1+2,"")</f>
        <v/>
      </c>
      <c r="T27" s="20">
        <f>IF(MONTH(DATE($B$2+0,12,1)-WEEKDAY(DATE($B$2+0,12,1),1)+1+3)=12,DATE($B$2+0,12,1)-WEEKDAY(DATE($B$2+0,12,1),1)+1+3,"")</f>
        <v>46722</v>
      </c>
      <c r="U27" s="20">
        <f>IF(MONTH(DATE($B$2+0,12,1)-WEEKDAY(DATE($B$2+0,12,1),1)+1+4)=12,DATE($B$2+0,12,1)-WEEKDAY(DATE($B$2+0,12,1),1)+1+4,"")</f>
        <v>46723</v>
      </c>
      <c r="V27" s="20">
        <f>IF(MONTH(DATE($B$2+0,12,1)-WEEKDAY(DATE($B$2+0,12,1),1)+1+5)=12,DATE($B$2+0,12,1)-WEEKDAY(DATE($B$2+0,12,1),1)+1+5,"")</f>
        <v>46724</v>
      </c>
      <c r="W27" s="20">
        <f>IF(MONTH(DATE($B$2+0,12,1)-WEEKDAY(DATE($B$2+0,12,1),1)+1+6)=12,DATE($B$2+0,12,1)-WEEKDAY(DATE($B$2+0,12,1),1)+1+6,"")</f>
        <v>46725</v>
      </c>
    </row>
    <row r="28" spans="1:23" ht="19.8" customHeight="1" x14ac:dyDescent="0.2">
      <c r="A28" s="20">
        <f>IF(MONTH(DATE($B$2+0,10,1)-WEEKDAY(DATE($B$2+0,10,1),1)+1+7)=10,DATE($B$2+0,10,1)-WEEKDAY(DATE($B$2+0,10,1),1)+1+7,"")</f>
        <v>46663</v>
      </c>
      <c r="B28" s="20">
        <f>IF(MONTH(DATE($B$2+0,10,1)-WEEKDAY(DATE($B$2+0,10,1),1)+1+8)=10,DATE($B$2+0,10,1)-WEEKDAY(DATE($B$2+0,10,1),1)+1+8,"")</f>
        <v>46664</v>
      </c>
      <c r="C28" s="20">
        <f>IF(MONTH(DATE($B$2+0,10,1)-WEEKDAY(DATE($B$2+0,10,1),1)+1+9)=10,DATE($B$2+0,10,1)-WEEKDAY(DATE($B$2+0,10,1),1)+1+9,"")</f>
        <v>46665</v>
      </c>
      <c r="D28" s="20">
        <f>IF(MONTH(DATE($B$2+0,10,1)-WEEKDAY(DATE($B$2+0,10,1),1)+1+10)=10,DATE($B$2+0,10,1)-WEEKDAY(DATE($B$2+0,10,1),1)+1+10,"")</f>
        <v>46666</v>
      </c>
      <c r="E28" s="20">
        <f>IF(MONTH(DATE($B$2+0,10,1)-WEEKDAY(DATE($B$2+0,10,1),1)+1+11)=10,DATE($B$2+0,10,1)-WEEKDAY(DATE($B$2+0,10,1),1)+1+11,"")</f>
        <v>46667</v>
      </c>
      <c r="F28" s="20">
        <f>IF(MONTH(DATE($B$2+0,10,1)-WEEKDAY(DATE($B$2+0,10,1),1)+1+12)=10,DATE($B$2+0,10,1)-WEEKDAY(DATE($B$2+0,10,1),1)+1+12,"")</f>
        <v>46668</v>
      </c>
      <c r="G28" s="20">
        <f>IF(MONTH(DATE($B$2+0,10,1)-WEEKDAY(DATE($B$2+0,10,1),1)+1+13)=10,DATE($B$2+0,10,1)-WEEKDAY(DATE($B$2+0,10,1),1)+1+13,"")</f>
        <v>46669</v>
      </c>
      <c r="I28" s="20">
        <f>IF(MONTH(DATE($B$2+0,11,1)-WEEKDAY(DATE($B$2+0,11,1),1)+1+7)=11,DATE($B$2+0,11,1)-WEEKDAY(DATE($B$2+0,11,1),1)+1+7,"")</f>
        <v>46698</v>
      </c>
      <c r="J28" s="20">
        <f>IF(MONTH(DATE($B$2+0,11,1)-WEEKDAY(DATE($B$2+0,11,1),1)+1+8)=11,DATE($B$2+0,11,1)-WEEKDAY(DATE($B$2+0,11,1),1)+1+8,"")</f>
        <v>46699</v>
      </c>
      <c r="K28" s="20">
        <f>IF(MONTH(DATE($B$2+0,11,1)-WEEKDAY(DATE($B$2+0,11,1),1)+1+9)=11,DATE($B$2+0,11,1)-WEEKDAY(DATE($B$2+0,11,1),1)+1+9,"")</f>
        <v>46700</v>
      </c>
      <c r="L28" s="20">
        <f>IF(MONTH(DATE($B$2+0,11,1)-WEEKDAY(DATE($B$2+0,11,1),1)+1+10)=11,DATE($B$2+0,11,1)-WEEKDAY(DATE($B$2+0,11,1),1)+1+10,"")</f>
        <v>46701</v>
      </c>
      <c r="M28" s="20">
        <f>IF(MONTH(DATE($B$2+0,11,1)-WEEKDAY(DATE($B$2+0,11,1),1)+1+11)=11,DATE($B$2+0,11,1)-WEEKDAY(DATE($B$2+0,11,1),1)+1+11,"")</f>
        <v>46702</v>
      </c>
      <c r="N28" s="20">
        <f>IF(MONTH(DATE($B$2+0,11,1)-WEEKDAY(DATE($B$2+0,11,1),1)+1+12)=11,DATE($B$2+0,11,1)-WEEKDAY(DATE($B$2+0,11,1),1)+1+12,"")</f>
        <v>46703</v>
      </c>
      <c r="O28" s="20">
        <f>IF(MONTH(DATE($B$2+0,11,1)-WEEKDAY(DATE($B$2+0,11,1),1)+1+13)=11,DATE($B$2+0,11,1)-WEEKDAY(DATE($B$2+0,11,1),1)+1+13,"")</f>
        <v>46704</v>
      </c>
      <c r="Q28" s="20">
        <f>IF(MONTH(DATE($B$2+0,12,1)-WEEKDAY(DATE($B$2+0,12,1),1)+1+7)=12,DATE($B$2+0,12,1)-WEEKDAY(DATE($B$2+0,12,1),1)+1+7,"")</f>
        <v>46726</v>
      </c>
      <c r="R28" s="20">
        <f>IF(MONTH(DATE($B$2+0,12,1)-WEEKDAY(DATE($B$2+0,12,1),1)+1+8)=12,DATE($B$2+0,12,1)-WEEKDAY(DATE($B$2+0,12,1),1)+1+8,"")</f>
        <v>46727</v>
      </c>
      <c r="S28" s="20">
        <f>IF(MONTH(DATE($B$2+0,12,1)-WEEKDAY(DATE($B$2+0,12,1),1)+1+9)=12,DATE($B$2+0,12,1)-WEEKDAY(DATE($B$2+0,12,1),1)+1+9,"")</f>
        <v>46728</v>
      </c>
      <c r="T28" s="20">
        <f>IF(MONTH(DATE($B$2+0,12,1)-WEEKDAY(DATE($B$2+0,12,1),1)+1+10)=12,DATE($B$2+0,12,1)-WEEKDAY(DATE($B$2+0,12,1),1)+1+10,"")</f>
        <v>46729</v>
      </c>
      <c r="U28" s="20">
        <f>IF(MONTH(DATE($B$2+0,12,1)-WEEKDAY(DATE($B$2+0,12,1),1)+1+11)=12,DATE($B$2+0,12,1)-WEEKDAY(DATE($B$2+0,12,1),1)+1+11,"")</f>
        <v>46730</v>
      </c>
      <c r="V28" s="20">
        <f>IF(MONTH(DATE($B$2+0,12,1)-WEEKDAY(DATE($B$2+0,12,1),1)+1+12)=12,DATE($B$2+0,12,1)-WEEKDAY(DATE($B$2+0,12,1),1)+1+12,"")</f>
        <v>46731</v>
      </c>
      <c r="W28" s="20">
        <f>IF(MONTH(DATE($B$2+0,12,1)-WEEKDAY(DATE($B$2+0,12,1),1)+1+13)=12,DATE($B$2+0,12,1)-WEEKDAY(DATE($B$2+0,12,1),1)+1+13,"")</f>
        <v>46732</v>
      </c>
    </row>
    <row r="29" spans="1:23" ht="19.8" customHeight="1" x14ac:dyDescent="0.2">
      <c r="A29" s="20">
        <f>IF(MONTH(DATE($B$2+0,10,1)-WEEKDAY(DATE($B$2+0,10,1),1)+1+14)=10,DATE($B$2+0,10,1)-WEEKDAY(DATE($B$2+0,10,1),1)+1+14,"")</f>
        <v>46670</v>
      </c>
      <c r="B29" s="20">
        <f>IF(MONTH(DATE($B$2+0,10,1)-WEEKDAY(DATE($B$2+0,10,1),1)+1+15)=10,DATE($B$2+0,10,1)-WEEKDAY(DATE($B$2+0,10,1),1)+1+15,"")</f>
        <v>46671</v>
      </c>
      <c r="C29" s="20">
        <f>IF(MONTH(DATE($B$2+0,10,1)-WEEKDAY(DATE($B$2+0,10,1),1)+1+16)=10,DATE($B$2+0,10,1)-WEEKDAY(DATE($B$2+0,10,1),1)+1+16,"")</f>
        <v>46672</v>
      </c>
      <c r="D29" s="20">
        <f>IF(MONTH(DATE($B$2+0,10,1)-WEEKDAY(DATE($B$2+0,10,1),1)+1+17)=10,DATE($B$2+0,10,1)-WEEKDAY(DATE($B$2+0,10,1),1)+1+17,"")</f>
        <v>46673</v>
      </c>
      <c r="E29" s="20">
        <f>IF(MONTH(DATE($B$2+0,10,1)-WEEKDAY(DATE($B$2+0,10,1),1)+1+18)=10,DATE($B$2+0,10,1)-WEEKDAY(DATE($B$2+0,10,1),1)+1+18,"")</f>
        <v>46674</v>
      </c>
      <c r="F29" s="20">
        <f>IF(MONTH(DATE($B$2+0,10,1)-WEEKDAY(DATE($B$2+0,10,1),1)+1+19)=10,DATE($B$2+0,10,1)-WEEKDAY(DATE($B$2+0,10,1),1)+1+19,"")</f>
        <v>46675</v>
      </c>
      <c r="G29" s="20">
        <f>IF(MONTH(DATE($B$2+0,10,1)-WEEKDAY(DATE($B$2+0,10,1),1)+1+20)=10,DATE($B$2+0,10,1)-WEEKDAY(DATE($B$2+0,10,1),1)+1+20,"")</f>
        <v>46676</v>
      </c>
      <c r="I29" s="20">
        <f>IF(MONTH(DATE($B$2+0,11,1)-WEEKDAY(DATE($B$2+0,11,1),1)+1+14)=11,DATE($B$2+0,11,1)-WEEKDAY(DATE($B$2+0,11,1),1)+1+14,"")</f>
        <v>46705</v>
      </c>
      <c r="J29" s="20">
        <f>IF(MONTH(DATE($B$2+0,11,1)-WEEKDAY(DATE($B$2+0,11,1),1)+1+15)=11,DATE($B$2+0,11,1)-WEEKDAY(DATE($B$2+0,11,1),1)+1+15,"")</f>
        <v>46706</v>
      </c>
      <c r="K29" s="20">
        <f>IF(MONTH(DATE($B$2+0,11,1)-WEEKDAY(DATE($B$2+0,11,1),1)+1+16)=11,DATE($B$2+0,11,1)-WEEKDAY(DATE($B$2+0,11,1),1)+1+16,"")</f>
        <v>46707</v>
      </c>
      <c r="L29" s="20">
        <f>IF(MONTH(DATE($B$2+0,11,1)-WEEKDAY(DATE($B$2+0,11,1),1)+1+17)=11,DATE($B$2+0,11,1)-WEEKDAY(DATE($B$2+0,11,1),1)+1+17,"")</f>
        <v>46708</v>
      </c>
      <c r="M29" s="20">
        <f>IF(MONTH(DATE($B$2+0,11,1)-WEEKDAY(DATE($B$2+0,11,1),1)+1+18)=11,DATE($B$2+0,11,1)-WEEKDAY(DATE($B$2+0,11,1),1)+1+18,"")</f>
        <v>46709</v>
      </c>
      <c r="N29" s="20">
        <f>IF(MONTH(DATE($B$2+0,11,1)-WEEKDAY(DATE($B$2+0,11,1),1)+1+19)=11,DATE($B$2+0,11,1)-WEEKDAY(DATE($B$2+0,11,1),1)+1+19,"")</f>
        <v>46710</v>
      </c>
      <c r="O29" s="20">
        <f>IF(MONTH(DATE($B$2+0,11,1)-WEEKDAY(DATE($B$2+0,11,1),1)+1+20)=11,DATE($B$2+0,11,1)-WEEKDAY(DATE($B$2+0,11,1),1)+1+20,"")</f>
        <v>46711</v>
      </c>
      <c r="Q29" s="20">
        <f>IF(MONTH(DATE($B$2+0,12,1)-WEEKDAY(DATE($B$2+0,12,1),1)+1+14)=12,DATE($B$2+0,12,1)-WEEKDAY(DATE($B$2+0,12,1),1)+1+14,"")</f>
        <v>46733</v>
      </c>
      <c r="R29" s="20">
        <f>IF(MONTH(DATE($B$2+0,12,1)-WEEKDAY(DATE($B$2+0,12,1),1)+1+15)=12,DATE($B$2+0,12,1)-WEEKDAY(DATE($B$2+0,12,1),1)+1+15,"")</f>
        <v>46734</v>
      </c>
      <c r="S29" s="20">
        <f>IF(MONTH(DATE($B$2+0,12,1)-WEEKDAY(DATE($B$2+0,12,1),1)+1+16)=12,DATE($B$2+0,12,1)-WEEKDAY(DATE($B$2+0,12,1),1)+1+16,"")</f>
        <v>46735</v>
      </c>
      <c r="T29" s="20">
        <f>IF(MONTH(DATE($B$2+0,12,1)-WEEKDAY(DATE($B$2+0,12,1),1)+1+17)=12,DATE($B$2+0,12,1)-WEEKDAY(DATE($B$2+0,12,1),1)+1+17,"")</f>
        <v>46736</v>
      </c>
      <c r="U29" s="20">
        <f>IF(MONTH(DATE($B$2+0,12,1)-WEEKDAY(DATE($B$2+0,12,1),1)+1+18)=12,DATE($B$2+0,12,1)-WEEKDAY(DATE($B$2+0,12,1),1)+1+18,"")</f>
        <v>46737</v>
      </c>
      <c r="V29" s="20">
        <f>IF(MONTH(DATE($B$2+0,12,1)-WEEKDAY(DATE($B$2+0,12,1),1)+1+19)=12,DATE($B$2+0,12,1)-WEEKDAY(DATE($B$2+0,12,1),1)+1+19,"")</f>
        <v>46738</v>
      </c>
      <c r="W29" s="20">
        <f>IF(MONTH(DATE($B$2+0,12,1)-WEEKDAY(DATE($B$2+0,12,1),1)+1+20)=12,DATE($B$2+0,12,1)-WEEKDAY(DATE($B$2+0,12,1),1)+1+20,"")</f>
        <v>46739</v>
      </c>
    </row>
    <row r="30" spans="1:23" ht="19.8" customHeight="1" x14ac:dyDescent="0.2">
      <c r="A30" s="20">
        <f>IF(MONTH(DATE($B$2+0,10,1)-WEEKDAY(DATE($B$2+0,10,1),1)+1+21)=10,DATE($B$2+0,10,1)-WEEKDAY(DATE($B$2+0,10,1),1)+1+21,"")</f>
        <v>46677</v>
      </c>
      <c r="B30" s="20">
        <f>IF(MONTH(DATE($B$2+0,10,1)-WEEKDAY(DATE($B$2+0,10,1),1)+1+22)=10,DATE($B$2+0,10,1)-WEEKDAY(DATE($B$2+0,10,1),1)+1+22,"")</f>
        <v>46678</v>
      </c>
      <c r="C30" s="20">
        <f>IF(MONTH(DATE($B$2+0,10,1)-WEEKDAY(DATE($B$2+0,10,1),1)+1+23)=10,DATE($B$2+0,10,1)-WEEKDAY(DATE($B$2+0,10,1),1)+1+23,"")</f>
        <v>46679</v>
      </c>
      <c r="D30" s="20">
        <f>IF(MONTH(DATE($B$2+0,10,1)-WEEKDAY(DATE($B$2+0,10,1),1)+1+24)=10,DATE($B$2+0,10,1)-WEEKDAY(DATE($B$2+0,10,1),1)+1+24,"")</f>
        <v>46680</v>
      </c>
      <c r="E30" s="20">
        <f>IF(MONTH(DATE($B$2+0,10,1)-WEEKDAY(DATE($B$2+0,10,1),1)+1+25)=10,DATE($B$2+0,10,1)-WEEKDAY(DATE($B$2+0,10,1),1)+1+25,"")</f>
        <v>46681</v>
      </c>
      <c r="F30" s="20">
        <f>IF(MONTH(DATE($B$2+0,10,1)-WEEKDAY(DATE($B$2+0,10,1),1)+1+26)=10,DATE($B$2+0,10,1)-WEEKDAY(DATE($B$2+0,10,1),1)+1+26,"")</f>
        <v>46682</v>
      </c>
      <c r="G30" s="20">
        <f>IF(MONTH(DATE($B$2+0,10,1)-WEEKDAY(DATE($B$2+0,10,1),1)+1+27)=10,DATE($B$2+0,10,1)-WEEKDAY(DATE($B$2+0,10,1),1)+1+27,"")</f>
        <v>46683</v>
      </c>
      <c r="I30" s="20">
        <f>IF(MONTH(DATE($B$2+0,11,1)-WEEKDAY(DATE($B$2+0,11,1),1)+1+21)=11,DATE($B$2+0,11,1)-WEEKDAY(DATE($B$2+0,11,1),1)+1+21,"")</f>
        <v>46712</v>
      </c>
      <c r="J30" s="20">
        <f>IF(MONTH(DATE($B$2+0,11,1)-WEEKDAY(DATE($B$2+0,11,1),1)+1+22)=11,DATE($B$2+0,11,1)-WEEKDAY(DATE($B$2+0,11,1),1)+1+22,"")</f>
        <v>46713</v>
      </c>
      <c r="K30" s="20">
        <f>IF(MONTH(DATE($B$2+0,11,1)-WEEKDAY(DATE($B$2+0,11,1),1)+1+23)=11,DATE($B$2+0,11,1)-WEEKDAY(DATE($B$2+0,11,1),1)+1+23,"")</f>
        <v>46714</v>
      </c>
      <c r="L30" s="20">
        <f>IF(MONTH(DATE($B$2+0,11,1)-WEEKDAY(DATE($B$2+0,11,1),1)+1+24)=11,DATE($B$2+0,11,1)-WEEKDAY(DATE($B$2+0,11,1),1)+1+24,"")</f>
        <v>46715</v>
      </c>
      <c r="M30" s="20">
        <f>IF(MONTH(DATE($B$2+0,11,1)-WEEKDAY(DATE($B$2+0,11,1),1)+1+25)=11,DATE($B$2+0,11,1)-WEEKDAY(DATE($B$2+0,11,1),1)+1+25,"")</f>
        <v>46716</v>
      </c>
      <c r="N30" s="20">
        <f>IF(MONTH(DATE($B$2+0,11,1)-WEEKDAY(DATE($B$2+0,11,1),1)+1+26)=11,DATE($B$2+0,11,1)-WEEKDAY(DATE($B$2+0,11,1),1)+1+26,"")</f>
        <v>46717</v>
      </c>
      <c r="O30" s="20">
        <f>IF(MONTH(DATE($B$2+0,11,1)-WEEKDAY(DATE($B$2+0,11,1),1)+1+27)=11,DATE($B$2+0,11,1)-WEEKDAY(DATE($B$2+0,11,1),1)+1+27,"")</f>
        <v>46718</v>
      </c>
      <c r="Q30" s="20">
        <f>IF(MONTH(DATE($B$2+0,12,1)-WEEKDAY(DATE($B$2+0,12,1),1)+1+21)=12,DATE($B$2+0,12,1)-WEEKDAY(DATE($B$2+0,12,1),1)+1+21,"")</f>
        <v>46740</v>
      </c>
      <c r="R30" s="20">
        <f>IF(MONTH(DATE($B$2+0,12,1)-WEEKDAY(DATE($B$2+0,12,1),1)+1+22)=12,DATE($B$2+0,12,1)-WEEKDAY(DATE($B$2+0,12,1),1)+1+22,"")</f>
        <v>46741</v>
      </c>
      <c r="S30" s="20">
        <f>IF(MONTH(DATE($B$2+0,12,1)-WEEKDAY(DATE($B$2+0,12,1),1)+1+23)=12,DATE($B$2+0,12,1)-WEEKDAY(DATE($B$2+0,12,1),1)+1+23,"")</f>
        <v>46742</v>
      </c>
      <c r="T30" s="20">
        <f>IF(MONTH(DATE($B$2+0,12,1)-WEEKDAY(DATE($B$2+0,12,1),1)+1+24)=12,DATE($B$2+0,12,1)-WEEKDAY(DATE($B$2+0,12,1),1)+1+24,"")</f>
        <v>46743</v>
      </c>
      <c r="U30" s="20">
        <f>IF(MONTH(DATE($B$2+0,12,1)-WEEKDAY(DATE($B$2+0,12,1),1)+1+25)=12,DATE($B$2+0,12,1)-WEEKDAY(DATE($B$2+0,12,1),1)+1+25,"")</f>
        <v>46744</v>
      </c>
      <c r="V30" s="20">
        <f>IF(MONTH(DATE($B$2+0,12,1)-WEEKDAY(DATE($B$2+0,12,1),1)+1+26)=12,DATE($B$2+0,12,1)-WEEKDAY(DATE($B$2+0,12,1),1)+1+26,"")</f>
        <v>46745</v>
      </c>
      <c r="W30" s="20">
        <f>IF(MONTH(DATE($B$2+0,12,1)-WEEKDAY(DATE($B$2+0,12,1),1)+1+27)=12,DATE($B$2+0,12,1)-WEEKDAY(DATE($B$2+0,12,1),1)+1+27,"")</f>
        <v>46746</v>
      </c>
    </row>
    <row r="31" spans="1:23" ht="19.8" customHeight="1" x14ac:dyDescent="0.2">
      <c r="A31" s="20">
        <f>IF(MONTH(DATE($B$2+0,10,1)-WEEKDAY(DATE($B$2+0,10,1),1)+1+28)=10,DATE($B$2+0,10,1)-WEEKDAY(DATE($B$2+0,10,1),1)+1+28,"")</f>
        <v>46684</v>
      </c>
      <c r="B31" s="20">
        <f>IF(MONTH(DATE($B$2+0,10,1)-WEEKDAY(DATE($B$2+0,10,1),1)+1+29)=10,DATE($B$2+0,10,1)-WEEKDAY(DATE($B$2+0,10,1),1)+1+29,"")</f>
        <v>46685</v>
      </c>
      <c r="C31" s="20">
        <f>IF(MONTH(DATE($B$2+0,10,1)-WEEKDAY(DATE($B$2+0,10,1),1)+1+30)=10,DATE($B$2+0,10,1)-WEEKDAY(DATE($B$2+0,10,1),1)+1+30,"")</f>
        <v>46686</v>
      </c>
      <c r="D31" s="20">
        <f>IF(MONTH(DATE($B$2+0,10,1)-WEEKDAY(DATE($B$2+0,10,1),1)+1+31)=10,DATE($B$2+0,10,1)-WEEKDAY(DATE($B$2+0,10,1),1)+1+31,"")</f>
        <v>46687</v>
      </c>
      <c r="E31" s="20">
        <f>IF(MONTH(DATE($B$2+0,10,1)-WEEKDAY(DATE($B$2+0,10,1),1)+1+32)=10,DATE($B$2+0,10,1)-WEEKDAY(DATE($B$2+0,10,1),1)+1+32,"")</f>
        <v>46688</v>
      </c>
      <c r="F31" s="20">
        <f>IF(MONTH(DATE($B$2+0,10,1)-WEEKDAY(DATE($B$2+0,10,1),1)+1+33)=10,DATE($B$2+0,10,1)-WEEKDAY(DATE($B$2+0,10,1),1)+1+33,"")</f>
        <v>46689</v>
      </c>
      <c r="G31" s="20">
        <f>IF(MONTH(DATE($B$2+0,10,1)-WEEKDAY(DATE($B$2+0,10,1),1)+1+34)=10,DATE($B$2+0,10,1)-WEEKDAY(DATE($B$2+0,10,1),1)+1+34,"")</f>
        <v>46690</v>
      </c>
      <c r="I31" s="20">
        <f>IF(MONTH(DATE($B$2+0,11,1)-WEEKDAY(DATE($B$2+0,11,1),1)+1+28)=11,DATE($B$2+0,11,1)-WEEKDAY(DATE($B$2+0,11,1),1)+1+28,"")</f>
        <v>46719</v>
      </c>
      <c r="J31" s="20">
        <f>IF(MONTH(DATE($B$2+0,11,1)-WEEKDAY(DATE($B$2+0,11,1),1)+1+29)=11,DATE($B$2+0,11,1)-WEEKDAY(DATE($B$2+0,11,1),1)+1+29,"")</f>
        <v>46720</v>
      </c>
      <c r="K31" s="20">
        <f>IF(MONTH(DATE($B$2+0,11,1)-WEEKDAY(DATE($B$2+0,11,1),1)+1+30)=11,DATE($B$2+0,11,1)-WEEKDAY(DATE($B$2+0,11,1),1)+1+30,"")</f>
        <v>46721</v>
      </c>
      <c r="L31" s="20" t="str">
        <f>IF(MONTH(DATE($B$2+0,11,1)-WEEKDAY(DATE($B$2+0,11,1),1)+1+31)=11,DATE($B$2+0,11,1)-WEEKDAY(DATE($B$2+0,11,1),1)+1+31,"")</f>
        <v/>
      </c>
      <c r="M31" s="20" t="str">
        <f>IF(MONTH(DATE($B$2+0,11,1)-WEEKDAY(DATE($B$2+0,11,1),1)+1+32)=11,DATE($B$2+0,11,1)-WEEKDAY(DATE($B$2+0,11,1),1)+1+32,"")</f>
        <v/>
      </c>
      <c r="N31" s="20" t="str">
        <f>IF(MONTH(DATE($B$2+0,11,1)-WEEKDAY(DATE($B$2+0,11,1),1)+1+33)=11,DATE($B$2+0,11,1)-WEEKDAY(DATE($B$2+0,11,1),1)+1+33,"")</f>
        <v/>
      </c>
      <c r="O31" s="20" t="str">
        <f>IF(MONTH(DATE($B$2+0,11,1)-WEEKDAY(DATE($B$2+0,11,1),1)+1+34)=11,DATE($B$2+0,11,1)-WEEKDAY(DATE($B$2+0,11,1),1)+1+34,"")</f>
        <v/>
      </c>
      <c r="Q31" s="20">
        <f>IF(MONTH(DATE($B$2+0,12,1)-WEEKDAY(DATE($B$2+0,12,1),1)+1+28)=12,DATE($B$2+0,12,1)-WEEKDAY(DATE($B$2+0,12,1),1)+1+28,"")</f>
        <v>46747</v>
      </c>
      <c r="R31" s="20">
        <f>IF(MONTH(DATE($B$2+0,12,1)-WEEKDAY(DATE($B$2+0,12,1),1)+1+29)=12,DATE($B$2+0,12,1)-WEEKDAY(DATE($B$2+0,12,1),1)+1+29,"")</f>
        <v>46748</v>
      </c>
      <c r="S31" s="20">
        <f>IF(MONTH(DATE($B$2+0,12,1)-WEEKDAY(DATE($B$2+0,12,1),1)+1+30)=12,DATE($B$2+0,12,1)-WEEKDAY(DATE($B$2+0,12,1),1)+1+30,"")</f>
        <v>46749</v>
      </c>
      <c r="T31" s="20">
        <f>IF(MONTH(DATE($B$2+0,12,1)-WEEKDAY(DATE($B$2+0,12,1),1)+1+31)=12,DATE($B$2+0,12,1)-WEEKDAY(DATE($B$2+0,12,1),1)+1+31,"")</f>
        <v>46750</v>
      </c>
      <c r="U31" s="20">
        <f>IF(MONTH(DATE($B$2+0,12,1)-WEEKDAY(DATE($B$2+0,12,1),1)+1+32)=12,DATE($B$2+0,12,1)-WEEKDAY(DATE($B$2+0,12,1),1)+1+32,"")</f>
        <v>46751</v>
      </c>
      <c r="V31" s="20">
        <f>IF(MONTH(DATE($B$2+0,12,1)-WEEKDAY(DATE($B$2+0,12,1),1)+1+33)=12,DATE($B$2+0,12,1)-WEEKDAY(DATE($B$2+0,12,1),1)+1+33,"")</f>
        <v>46752</v>
      </c>
      <c r="W31" s="20" t="str">
        <f>IF(MONTH(DATE($B$2+0,12,1)-WEEKDAY(DATE($B$2+0,12,1),1)+1+34)=12,DATE($B$2+0,12,1)-WEEKDAY(DATE($B$2+0,12,1),1)+1+34,"")</f>
        <v/>
      </c>
    </row>
    <row r="32" spans="1:23" ht="19.8" customHeight="1" x14ac:dyDescent="0.2">
      <c r="A32" s="20">
        <f>IF(MONTH(DATE($B$2+0,10,1)-WEEKDAY(DATE($B$2+0,10,1),1)+1+35)=10,DATE($B$2+0,10,1)-WEEKDAY(DATE($B$2+0,10,1),1)+1+35,"")</f>
        <v>46691</v>
      </c>
      <c r="B32" s="20" t="str">
        <f>IF(MONTH(DATE($B$2+0,10,1)-WEEKDAY(DATE($B$2+0,10,1),1)+1+36)=10,DATE($B$2+0,10,1)-WEEKDAY(DATE($B$2+0,10,1),1)+1+36,"")</f>
        <v/>
      </c>
      <c r="C32" s="20" t="str">
        <f>IF(MONTH(DATE($B$2+0,10,1)-WEEKDAY(DATE($B$2+0,10,1),1)+1+37)=10,DATE($B$2+0,10,1)-WEEKDAY(DATE($B$2+0,10,1),1)+1+37,"")</f>
        <v/>
      </c>
      <c r="D32" s="20" t="str">
        <f>IF(MONTH(DATE($B$2+0,10,1)-WEEKDAY(DATE($B$2+0,10,1),1)+1+38)=10,DATE($B$2+0,10,1)-WEEKDAY(DATE($B$2+0,10,1),1)+1+38,"")</f>
        <v/>
      </c>
      <c r="E32" s="20" t="str">
        <f>IF(MONTH(DATE($B$2+0,10,1)-WEEKDAY(DATE($B$2+0,10,1),1)+1+39)=10,DATE($B$2+0,10,1)-WEEKDAY(DATE($B$2+0,10,1),1)+1+39,"")</f>
        <v/>
      </c>
      <c r="F32" s="20" t="str">
        <f>IF(MONTH(DATE($B$2+0,10,1)-WEEKDAY(DATE($B$2+0,10,1),1)+1+40)=10,DATE($B$2+0,10,1)-WEEKDAY(DATE($B$2+0,10,1),1)+1+40,"")</f>
        <v/>
      </c>
      <c r="G32" s="20" t="str">
        <f>IF(MONTH(DATE($B$2+0,10,1)-WEEKDAY(DATE($B$2+0,10,1),1)+1+41)=10,DATE($B$2+0,10,1)-WEEKDAY(DATE($B$2+0,10,1),1)+1+41,"")</f>
        <v/>
      </c>
      <c r="I32" s="20" t="str">
        <f>IF(MONTH(DATE($B$2+0,11,1)-WEEKDAY(DATE($B$2+0,11,1),1)+1+35)=11,DATE($B$2+0,11,1)-WEEKDAY(DATE($B$2+0,11,1),1)+1+35,"")</f>
        <v/>
      </c>
      <c r="J32" s="20" t="str">
        <f>IF(MONTH(DATE($B$2+0,11,1)-WEEKDAY(DATE($B$2+0,11,1),1)+1+36)=11,DATE($B$2+0,11,1)-WEEKDAY(DATE($B$2+0,11,1),1)+1+36,"")</f>
        <v/>
      </c>
      <c r="K32" s="20" t="str">
        <f>IF(MONTH(DATE($B$2+0,11,1)-WEEKDAY(DATE($B$2+0,11,1),1)+1+37)=11,DATE($B$2+0,11,1)-WEEKDAY(DATE($B$2+0,11,1),1)+1+37,"")</f>
        <v/>
      </c>
      <c r="L32" s="20" t="str">
        <f>IF(MONTH(DATE($B$2+0,11,1)-WEEKDAY(DATE($B$2+0,11,1),1)+1+38)=11,DATE($B$2+0,11,1)-WEEKDAY(DATE($B$2+0,11,1),1)+1+38,"")</f>
        <v/>
      </c>
      <c r="M32" s="20" t="str">
        <f>IF(MONTH(DATE($B$2+0,11,1)-WEEKDAY(DATE($B$2+0,11,1),1)+1+39)=11,DATE($B$2+0,11,1)-WEEKDAY(DATE($B$2+0,11,1),1)+1+39,"")</f>
        <v/>
      </c>
      <c r="N32" s="20" t="str">
        <f>IF(MONTH(DATE($B$2+0,11,1)-WEEKDAY(DATE($B$2+0,11,1),1)+1+40)=11,DATE($B$2+0,11,1)-WEEKDAY(DATE($B$2+0,11,1),1)+1+40,"")</f>
        <v/>
      </c>
      <c r="O32" s="20" t="str">
        <f>IF(MONTH(DATE($B$2+0,11,1)-WEEKDAY(DATE($B$2+0,11,1),1)+1+41)=11,DATE($B$2+0,11,1)-WEEKDAY(DATE($B$2+0,11,1),1)+1+41,"")</f>
        <v/>
      </c>
      <c r="Q32" s="20" t="str">
        <f>IF(MONTH(DATE($B$2+0,12,1)-WEEKDAY(DATE($B$2+0,12,1),1)+1+35)=12,DATE($B$2+0,12,1)-WEEKDAY(DATE($B$2+0,12,1),1)+1+35,"")</f>
        <v/>
      </c>
      <c r="R32" s="20" t="str">
        <f>IF(MONTH(DATE($B$2+0,12,1)-WEEKDAY(DATE($B$2+0,12,1),1)+1+36)=12,DATE($B$2+0,12,1)-WEEKDAY(DATE($B$2+0,12,1),1)+1+36,"")</f>
        <v/>
      </c>
      <c r="S32" s="20" t="str">
        <f>IF(MONTH(DATE($B$2+0,12,1)-WEEKDAY(DATE($B$2+0,12,1),1)+1+37)=12,DATE($B$2+0,12,1)-WEEKDAY(DATE($B$2+0,12,1),1)+1+37,"")</f>
        <v/>
      </c>
      <c r="T32" s="20" t="str">
        <f>IF(MONTH(DATE($B$2+0,12,1)-WEEKDAY(DATE($B$2+0,12,1),1)+1+38)=12,DATE($B$2+0,12,1)-WEEKDAY(DATE($B$2+0,12,1),1)+1+38,"")</f>
        <v/>
      </c>
      <c r="U32" s="20" t="str">
        <f>IF(MONTH(DATE($B$2+0,12,1)-WEEKDAY(DATE($B$2+0,12,1),1)+1+39)=12,DATE($B$2+0,12,1)-WEEKDAY(DATE($B$2+0,12,1),1)+1+39,"")</f>
        <v/>
      </c>
      <c r="V32" s="20" t="str">
        <f>IF(MONTH(DATE($B$2+0,12,1)-WEEKDAY(DATE($B$2+0,12,1),1)+1+40)=12,DATE($B$2+0,12,1)-WEEKDAY(DATE($B$2+0,12,1),1)+1+40,"")</f>
        <v/>
      </c>
      <c r="W32" s="20" t="str">
        <f>IF(MONTH(DATE($B$2+0,12,1)-WEEKDAY(DATE($B$2+0,12,1),1)+1+41)=12,DATE($B$2+0,12,1)-WEEKDAY(DATE($B$2+0,12,1),1)+1+41,"")</f>
        <v/>
      </c>
    </row>
    <row r="33" spans="1:23" ht="10.050000000000001" customHeight="1" x14ac:dyDescent="0.2">
      <c r="A33" s="13"/>
      <c r="B33" s="13"/>
      <c r="C33" s="13"/>
      <c r="D33" s="13"/>
      <c r="E33" s="13"/>
      <c r="F33" s="13"/>
      <c r="G33" s="13"/>
      <c r="I33" s="15"/>
      <c r="J33" s="13"/>
      <c r="K33" s="13"/>
      <c r="L33" s="13"/>
      <c r="M33" s="13"/>
      <c r="N33" s="13"/>
      <c r="O33" s="13"/>
      <c r="Q33" s="13"/>
      <c r="R33" s="12"/>
      <c r="S33" s="13"/>
      <c r="T33" s="13"/>
      <c r="U33" s="13"/>
      <c r="V33" s="13"/>
      <c r="W33" s="13"/>
    </row>
    <row r="34" spans="1:23" ht="22.8" customHeight="1" x14ac:dyDescent="0.3">
      <c r="A34" s="23">
        <f>$B$2+1</f>
        <v>2028</v>
      </c>
      <c r="B34" s="23"/>
      <c r="C34" s="23"/>
      <c r="D34" s="16">
        <v>1</v>
      </c>
      <c r="E34" s="22" t="s">
        <v>1</v>
      </c>
      <c r="F34" s="22"/>
      <c r="G34" s="22"/>
      <c r="I34" s="23">
        <f>$B$2+1</f>
        <v>2028</v>
      </c>
      <c r="J34" s="23"/>
      <c r="K34" s="23"/>
      <c r="L34" s="16">
        <v>2</v>
      </c>
      <c r="M34" s="22" t="s">
        <v>1</v>
      </c>
      <c r="N34" s="22"/>
      <c r="O34" s="22"/>
      <c r="Q34" s="23">
        <f>$B$2+1</f>
        <v>2028</v>
      </c>
      <c r="R34" s="23"/>
      <c r="S34" s="23"/>
      <c r="T34" s="16">
        <v>3</v>
      </c>
      <c r="U34" s="22" t="s">
        <v>1</v>
      </c>
      <c r="V34" s="22"/>
      <c r="W34" s="22"/>
    </row>
    <row r="35" spans="1:23" ht="3.75" customHeight="1" x14ac:dyDescent="0.35">
      <c r="A35" s="7"/>
      <c r="B35" s="8"/>
      <c r="C35" s="8"/>
      <c r="D35" s="6"/>
      <c r="E35" s="6"/>
      <c r="F35" s="6"/>
      <c r="G35" s="6"/>
      <c r="K35" s="2"/>
      <c r="L35" s="1"/>
      <c r="M35" s="1"/>
      <c r="S35" s="2"/>
      <c r="T35" s="1"/>
      <c r="U35" s="1"/>
    </row>
    <row r="36" spans="1:23" ht="19.8" customHeight="1" x14ac:dyDescent="0.2">
      <c r="A36" s="3" t="s">
        <v>2</v>
      </c>
      <c r="B36" s="4" t="s">
        <v>1</v>
      </c>
      <c r="C36" s="4" t="s">
        <v>3</v>
      </c>
      <c r="D36" s="4" t="s">
        <v>4</v>
      </c>
      <c r="E36" s="4" t="s">
        <v>5</v>
      </c>
      <c r="F36" s="4" t="s">
        <v>6</v>
      </c>
      <c r="G36" s="10" t="s">
        <v>7</v>
      </c>
      <c r="I36" s="3" t="s">
        <v>2</v>
      </c>
      <c r="J36" s="4" t="s">
        <v>1</v>
      </c>
      <c r="K36" s="4" t="s">
        <v>3</v>
      </c>
      <c r="L36" s="4" t="s">
        <v>4</v>
      </c>
      <c r="M36" s="4" t="s">
        <v>5</v>
      </c>
      <c r="N36" s="4" t="s">
        <v>6</v>
      </c>
      <c r="O36" s="5" t="s">
        <v>7</v>
      </c>
      <c r="Q36" s="3" t="s">
        <v>2</v>
      </c>
      <c r="R36" s="4" t="s">
        <v>1</v>
      </c>
      <c r="S36" s="4" t="s">
        <v>3</v>
      </c>
      <c r="T36" s="4" t="s">
        <v>4</v>
      </c>
      <c r="U36" s="4" t="s">
        <v>5</v>
      </c>
      <c r="V36" s="4" t="s">
        <v>6</v>
      </c>
      <c r="W36" s="5" t="s">
        <v>7</v>
      </c>
    </row>
    <row r="37" spans="1:23" ht="19.8" customHeight="1" x14ac:dyDescent="0.2">
      <c r="A37" s="20" t="str">
        <f>IF(MONTH(DATE($B$2+1,1,1)-WEEKDAY(DATE($B$2+1,1,1),1)+1+0)=1,DATE($B$2+1,1,1)-WEEKDAY(DATE($B$2+1,1,1),1)+1+0,"")</f>
        <v/>
      </c>
      <c r="B37" s="20" t="str">
        <f>IF(MONTH(DATE($B$2+1,1,1)-WEEKDAY(DATE($B$2+1,1,1),1)+1+1)=1,DATE($B$2+1,1,1)-WEEKDAY(DATE($B$2+1,1,1),1)+1+1,"")</f>
        <v/>
      </c>
      <c r="C37" s="20" t="str">
        <f>IF(MONTH(DATE($B$2+1,1,1)-WEEKDAY(DATE($B$2+1,1,1),1)+1+2)=1,DATE($B$2+1,1,1)-WEEKDAY(DATE($B$2+1,1,1),1)+1+2,"")</f>
        <v/>
      </c>
      <c r="D37" s="20" t="str">
        <f>IF(MONTH(DATE($B$2+1,1,1)-WEEKDAY(DATE($B$2+1,1,1),1)+1+3)=1,DATE($B$2+1,1,1)-WEEKDAY(DATE($B$2+1,1,1),1)+1+3,"")</f>
        <v/>
      </c>
      <c r="E37" s="20" t="str">
        <f>IF(MONTH(DATE($B$2+1,1,1)-WEEKDAY(DATE($B$2+1,1,1),1)+1+4)=1,DATE($B$2+1,1,1)-WEEKDAY(DATE($B$2+1,1,1),1)+1+4,"")</f>
        <v/>
      </c>
      <c r="F37" s="20" t="str">
        <f>IF(MONTH(DATE($B$2+1,1,1)-WEEKDAY(DATE($B$2+1,1,1),1)+1+5)=1,DATE($B$2+1,1,1)-WEEKDAY(DATE($B$2+1,1,1),1)+1+5,"")</f>
        <v/>
      </c>
      <c r="G37" s="20">
        <f>IF(MONTH(DATE($B$2+1,1,1)-WEEKDAY(DATE($B$2+1,1,1),1)+1+6)=1,DATE($B$2+1,1,1)-WEEKDAY(DATE($B$2+1,1,1),1)+1+6,"")</f>
        <v>46753</v>
      </c>
      <c r="I37" s="20" t="str">
        <f>IF(MONTH(DATE($B$2+1,2,1)-WEEKDAY(DATE($B$2+1,2,1),1)+1+0)=2,DATE($B$2+1,2,1)-WEEKDAY(DATE($B$2+1,2,1),1)+1+0,"")</f>
        <v/>
      </c>
      <c r="J37" s="20" t="str">
        <f>IF(MONTH(DATE($B$2+1,2,1)-WEEKDAY(DATE($B$2+1,2,1),1)+1+1)=2,DATE($B$2+1,2,1)-WEEKDAY(DATE($B$2+1,2,1),1)+1+1,"")</f>
        <v/>
      </c>
      <c r="K37" s="20">
        <f>IF(MONTH(DATE($B$2+1,2,1)-WEEKDAY(DATE($B$2+1,2,1),1)+1+2)=2,DATE($B$2+1,2,1)-WEEKDAY(DATE($B$2+1,2,1),1)+1+2,"")</f>
        <v>46784</v>
      </c>
      <c r="L37" s="20">
        <f>IF(MONTH(DATE($B$2+1,2,1)-WEEKDAY(DATE($B$2+1,2,1),1)+1+3)=2,DATE($B$2+1,2,1)-WEEKDAY(DATE($B$2+1,2,1),1)+1+3,"")</f>
        <v>46785</v>
      </c>
      <c r="M37" s="20">
        <f>IF(MONTH(DATE($B$2+1,2,1)-WEEKDAY(DATE($B$2+1,2,1),1)+1+4)=2,DATE($B$2+1,2,1)-WEEKDAY(DATE($B$2+1,2,1),1)+1+4,"")</f>
        <v>46786</v>
      </c>
      <c r="N37" s="20">
        <f>IF(MONTH(DATE($B$2+1,2,1)-WEEKDAY(DATE($B$2+1,2,1),1)+1+5)=2,DATE($B$2+1,2,1)-WEEKDAY(DATE($B$2+1,2,1),1)+1+5,"")</f>
        <v>46787</v>
      </c>
      <c r="O37" s="20">
        <f>IF(MONTH(DATE($B$2+1,2,1)-WEEKDAY(DATE($B$2+1,2,1),1)+1+6)=2,DATE($B$2+1,2,1)-WEEKDAY(DATE($B$2+1,2,1),1)+1+6,"")</f>
        <v>46788</v>
      </c>
      <c r="Q37" s="20" t="str">
        <f>IF(MONTH(DATE($B$2+1,3,1)-WEEKDAY(DATE($B$2+1,3,1),1)+1+0)=3,DATE($B$2+1,3,1)-WEEKDAY(DATE($B$2+1,3,1),1)+1+0,"")</f>
        <v/>
      </c>
      <c r="R37" s="20" t="str">
        <f>IF(MONTH(DATE($B$2+1,3,1)-WEEKDAY(DATE($B$2+1,3,1),1)+1+1)=3,DATE($B$2+1,3,1)-WEEKDAY(DATE($B$2+1,3,1),1)+1+1,"")</f>
        <v/>
      </c>
      <c r="S37" s="20" t="str">
        <f>IF(MONTH(DATE($B$2+1,3,1)-WEEKDAY(DATE($B$2+1,3,1),1)+1+2)=3,DATE($B$2+1,3,1)-WEEKDAY(DATE($B$2+1,3,1),1)+1+2,"")</f>
        <v/>
      </c>
      <c r="T37" s="20">
        <f>IF(MONTH(DATE($B$2+1,3,1)-WEEKDAY(DATE($B$2+1,3,1),1)+1+3)=3,DATE($B$2+1,3,1)-WEEKDAY(DATE($B$2+1,3,1),1)+1+3,"")</f>
        <v>46813</v>
      </c>
      <c r="U37" s="20">
        <f>IF(MONTH(DATE($B$2+1,3,1)-WEEKDAY(DATE($B$2+1,3,1),1)+1+4)=3,DATE($B$2+1,3,1)-WEEKDAY(DATE($B$2+1,3,1),1)+1+4,"")</f>
        <v>46814</v>
      </c>
      <c r="V37" s="20">
        <f>IF(MONTH(DATE($B$2+1,3,1)-WEEKDAY(DATE($B$2+1,3,1),1)+1+5)=3,DATE($B$2+1,3,1)-WEEKDAY(DATE($B$2+1,3,1),1)+1+5,"")</f>
        <v>46815</v>
      </c>
      <c r="W37" s="20">
        <f>IF(MONTH(DATE($B$2+1,3,1)-WEEKDAY(DATE($B$2+1,3,1),1)+1+6)=3,DATE($B$2+1,3,1)-WEEKDAY(DATE($B$2+1,3,1),1)+1+6,"")</f>
        <v>46816</v>
      </c>
    </row>
    <row r="38" spans="1:23" ht="19.8" customHeight="1" x14ac:dyDescent="0.2">
      <c r="A38" s="20">
        <f>IF(MONTH(DATE($B$2+1,1,1)-WEEKDAY(DATE($B$2+1,1,1),1)+1+7)=1,DATE($B$2+1,1,1)-WEEKDAY(DATE($B$2+1,1,1),1)+1+7,"")</f>
        <v>46754</v>
      </c>
      <c r="B38" s="20">
        <f>IF(MONTH(DATE($B$2+1,1,1)-WEEKDAY(DATE($B$2+1,1,1),1)+1+8)=1,DATE($B$2+1,1,1)-WEEKDAY(DATE($B$2+1,1,1),1)+1+8,"")</f>
        <v>46755</v>
      </c>
      <c r="C38" s="20">
        <f>IF(MONTH(DATE($B$2+1,1,1)-WEEKDAY(DATE($B$2+1,1,1),1)+1+9)=1,DATE($B$2+1,1,1)-WEEKDAY(DATE($B$2+1,1,1),1)+1+9,"")</f>
        <v>46756</v>
      </c>
      <c r="D38" s="20">
        <f>IF(MONTH(DATE($B$2+1,1,1)-WEEKDAY(DATE($B$2+1,1,1),1)+1+10)=1,DATE($B$2+1,1,1)-WEEKDAY(DATE($B$2+1,1,1),1)+1+10,"")</f>
        <v>46757</v>
      </c>
      <c r="E38" s="20">
        <f>IF(MONTH(DATE($B$2+1,1,1)-WEEKDAY(DATE($B$2+1,1,1),1)+1+11)=1,DATE($B$2+1,1,1)-WEEKDAY(DATE($B$2+1,1,1),1)+1+11,"")</f>
        <v>46758</v>
      </c>
      <c r="F38" s="20">
        <f>IF(MONTH(DATE($B$2+1,1,1)-WEEKDAY(DATE($B$2+1,1,1),1)+1+12)=1,DATE($B$2+1,1,1)-WEEKDAY(DATE($B$2+1,1,1),1)+1+12,"")</f>
        <v>46759</v>
      </c>
      <c r="G38" s="20">
        <f>IF(MONTH(DATE($B$2+1,1,1)-WEEKDAY(DATE($B$2+1,1,1),1)+1+13)=1,DATE($B$2+1,1,1)-WEEKDAY(DATE($B$2+1,1,1),1)+1+13,"")</f>
        <v>46760</v>
      </c>
      <c r="I38" s="20">
        <f>IF(MONTH(DATE($B$2+1,2,1)-WEEKDAY(DATE($B$2+1,2,1),1)+1+7)=2,DATE($B$2+1,2,1)-WEEKDAY(DATE($B$2+1,2,1),1)+1+7,"")</f>
        <v>46789</v>
      </c>
      <c r="J38" s="20">
        <f>IF(MONTH(DATE($B$2+1,2,1)-WEEKDAY(DATE($B$2+1,2,1),1)+1+8)=2,DATE($B$2+1,2,1)-WEEKDAY(DATE($B$2+1,2,1),1)+1+8,"")</f>
        <v>46790</v>
      </c>
      <c r="K38" s="20">
        <f>IF(MONTH(DATE($B$2+1,2,1)-WEEKDAY(DATE($B$2+1,2,1),1)+1+9)=2,DATE($B$2+1,2,1)-WEEKDAY(DATE($B$2+1,2,1),1)+1+9,"")</f>
        <v>46791</v>
      </c>
      <c r="L38" s="20">
        <f>IF(MONTH(DATE($B$2+1,2,1)-WEEKDAY(DATE($B$2+1,2,1),1)+1+10)=2,DATE($B$2+1,2,1)-WEEKDAY(DATE($B$2+1,2,1),1)+1+10,"")</f>
        <v>46792</v>
      </c>
      <c r="M38" s="20">
        <f>IF(MONTH(DATE($B$2+1,2,1)-WEEKDAY(DATE($B$2+1,2,1),1)+1+11)=2,DATE($B$2+1,2,1)-WEEKDAY(DATE($B$2+1,2,1),1)+1+11,"")</f>
        <v>46793</v>
      </c>
      <c r="N38" s="20">
        <f>IF(MONTH(DATE($B$2+1,2,1)-WEEKDAY(DATE($B$2+1,2,1),1)+1+12)=2,DATE($B$2+1,2,1)-WEEKDAY(DATE($B$2+1,2,1),1)+1+12,"")</f>
        <v>46794</v>
      </c>
      <c r="O38" s="20">
        <f>IF(MONTH(DATE($B$2+1,2,1)-WEEKDAY(DATE($B$2+1,2,1),1)+1+13)=2,DATE($B$2+1,2,1)-WEEKDAY(DATE($B$2+1,2,1),1)+1+13,"")</f>
        <v>46795</v>
      </c>
      <c r="Q38" s="20">
        <f>IF(MONTH(DATE($B$2+1,3,1)-WEEKDAY(DATE($B$2+1,3,1),1)+1+7)=3,DATE($B$2+1,3,1)-WEEKDAY(DATE($B$2+1,3,1),1)+1+7,"")</f>
        <v>46817</v>
      </c>
      <c r="R38" s="20">
        <f>IF(MONTH(DATE($B$2+1,3,1)-WEEKDAY(DATE($B$2+1,3,1),1)+1+8)=3,DATE($B$2+1,3,1)-WEEKDAY(DATE($B$2+1,3,1),1)+1+8,"")</f>
        <v>46818</v>
      </c>
      <c r="S38" s="20">
        <f>IF(MONTH(DATE($B$2+1,3,1)-WEEKDAY(DATE($B$2+1,3,1),1)+1+9)=3,DATE($B$2+1,3,1)-WEEKDAY(DATE($B$2+1,3,1),1)+1+9,"")</f>
        <v>46819</v>
      </c>
      <c r="T38" s="20">
        <f>IF(MONTH(DATE($B$2+1,3,1)-WEEKDAY(DATE($B$2+1,3,1),1)+1+10)=3,DATE($B$2+1,3,1)-WEEKDAY(DATE($B$2+1,3,1),1)+1+10,"")</f>
        <v>46820</v>
      </c>
      <c r="U38" s="20">
        <f>IF(MONTH(DATE($B$2+1,3,1)-WEEKDAY(DATE($B$2+1,3,1),1)+1+11)=3,DATE($B$2+1,3,1)-WEEKDAY(DATE($B$2+1,3,1),1)+1+11,"")</f>
        <v>46821</v>
      </c>
      <c r="V38" s="20">
        <f>IF(MONTH(DATE($B$2+1,3,1)-WEEKDAY(DATE($B$2+1,3,1),1)+1+12)=3,DATE($B$2+1,3,1)-WEEKDAY(DATE($B$2+1,3,1),1)+1+12,"")</f>
        <v>46822</v>
      </c>
      <c r="W38" s="20">
        <f>IF(MONTH(DATE($B$2+1,3,1)-WEEKDAY(DATE($B$2+1,3,1),1)+1+13)=3,DATE($B$2+1,3,1)-WEEKDAY(DATE($B$2+1,3,1),1)+1+13,"")</f>
        <v>46823</v>
      </c>
    </row>
    <row r="39" spans="1:23" ht="19.8" customHeight="1" x14ac:dyDescent="0.2">
      <c r="A39" s="20">
        <f>IF(MONTH(DATE($B$2+1,1,1)-WEEKDAY(DATE($B$2+1,1,1),1)+1+14)=1,DATE($B$2+1,1,1)-WEEKDAY(DATE($B$2+1,1,1),1)+1+14,"")</f>
        <v>46761</v>
      </c>
      <c r="B39" s="20">
        <f>IF(MONTH(DATE($B$2+1,1,1)-WEEKDAY(DATE($B$2+1,1,1),1)+1+15)=1,DATE($B$2+1,1,1)-WEEKDAY(DATE($B$2+1,1,1),1)+1+15,"")</f>
        <v>46762</v>
      </c>
      <c r="C39" s="20">
        <f>IF(MONTH(DATE($B$2+1,1,1)-WEEKDAY(DATE($B$2+1,1,1),1)+1+16)=1,DATE($B$2+1,1,1)-WEEKDAY(DATE($B$2+1,1,1),1)+1+16,"")</f>
        <v>46763</v>
      </c>
      <c r="D39" s="20">
        <f>IF(MONTH(DATE($B$2+1,1,1)-WEEKDAY(DATE($B$2+1,1,1),1)+1+17)=1,DATE($B$2+1,1,1)-WEEKDAY(DATE($B$2+1,1,1),1)+1+17,"")</f>
        <v>46764</v>
      </c>
      <c r="E39" s="20">
        <f>IF(MONTH(DATE($B$2+1,1,1)-WEEKDAY(DATE($B$2+1,1,1),1)+1+18)=1,DATE($B$2+1,1,1)-WEEKDAY(DATE($B$2+1,1,1),1)+1+18,"")</f>
        <v>46765</v>
      </c>
      <c r="F39" s="20">
        <f>IF(MONTH(DATE($B$2+1,1,1)-WEEKDAY(DATE($B$2+1,1,1),1)+1+19)=1,DATE($B$2+1,1,1)-WEEKDAY(DATE($B$2+1,1,1),1)+1+19,"")</f>
        <v>46766</v>
      </c>
      <c r="G39" s="20">
        <f>IF(MONTH(DATE($B$2+1,1,1)-WEEKDAY(DATE($B$2+1,1,1),1)+1+20)=1,DATE($B$2+1,1,1)-WEEKDAY(DATE($B$2+1,1,1),1)+1+20,"")</f>
        <v>46767</v>
      </c>
      <c r="I39" s="20">
        <f>IF(MONTH(DATE($B$2+1,2,1)-WEEKDAY(DATE($B$2+1,2,1),1)+1+14)=2,DATE($B$2+1,2,1)-WEEKDAY(DATE($B$2+1,2,1),1)+1+14,"")</f>
        <v>46796</v>
      </c>
      <c r="J39" s="20">
        <f>IF(MONTH(DATE($B$2+1,2,1)-WEEKDAY(DATE($B$2+1,2,1),1)+1+15)=2,DATE($B$2+1,2,1)-WEEKDAY(DATE($B$2+1,2,1),1)+1+15,"")</f>
        <v>46797</v>
      </c>
      <c r="K39" s="20">
        <f>IF(MONTH(DATE($B$2+1,2,1)-WEEKDAY(DATE($B$2+1,2,1),1)+1+16)=2,DATE($B$2+1,2,1)-WEEKDAY(DATE($B$2+1,2,1),1)+1+16,"")</f>
        <v>46798</v>
      </c>
      <c r="L39" s="20">
        <f>IF(MONTH(DATE($B$2+1,2,1)-WEEKDAY(DATE($B$2+1,2,1),1)+1+17)=2,DATE($B$2+1,2,1)-WEEKDAY(DATE($B$2+1,2,1),1)+1+17,"")</f>
        <v>46799</v>
      </c>
      <c r="M39" s="20">
        <f>IF(MONTH(DATE($B$2+1,2,1)-WEEKDAY(DATE($B$2+1,2,1),1)+1+18)=2,DATE($B$2+1,2,1)-WEEKDAY(DATE($B$2+1,2,1),1)+1+18,"")</f>
        <v>46800</v>
      </c>
      <c r="N39" s="20">
        <f>IF(MONTH(DATE($B$2+1,2,1)-WEEKDAY(DATE($B$2+1,2,1),1)+1+19)=2,DATE($B$2+1,2,1)-WEEKDAY(DATE($B$2+1,2,1),1)+1+19,"")</f>
        <v>46801</v>
      </c>
      <c r="O39" s="20">
        <f>IF(MONTH(DATE($B$2+1,2,1)-WEEKDAY(DATE($B$2+1,2,1),1)+1+20)=2,DATE($B$2+1,2,1)-WEEKDAY(DATE($B$2+1,2,1),1)+1+20,"")</f>
        <v>46802</v>
      </c>
      <c r="Q39" s="20">
        <f>IF(MONTH(DATE($B$2+1,3,1)-WEEKDAY(DATE($B$2+1,3,1),1)+1+14)=3,DATE($B$2+1,3,1)-WEEKDAY(DATE($B$2+1,3,1),1)+1+14,"")</f>
        <v>46824</v>
      </c>
      <c r="R39" s="20">
        <f>IF(MONTH(DATE($B$2+1,3,1)-WEEKDAY(DATE($B$2+1,3,1),1)+1+15)=3,DATE($B$2+1,3,1)-WEEKDAY(DATE($B$2+1,3,1),1)+1+15,"")</f>
        <v>46825</v>
      </c>
      <c r="S39" s="20">
        <f>IF(MONTH(DATE($B$2+1,3,1)-WEEKDAY(DATE($B$2+1,3,1),1)+1+16)=3,DATE($B$2+1,3,1)-WEEKDAY(DATE($B$2+1,3,1),1)+1+16,"")</f>
        <v>46826</v>
      </c>
      <c r="T39" s="20">
        <f>IF(MONTH(DATE($B$2+1,3,1)-WEEKDAY(DATE($B$2+1,3,1),1)+1+17)=3,DATE($B$2+1,3,1)-WEEKDAY(DATE($B$2+1,3,1),1)+1+17,"")</f>
        <v>46827</v>
      </c>
      <c r="U39" s="20">
        <f>IF(MONTH(DATE($B$2+1,3,1)-WEEKDAY(DATE($B$2+1,3,1),1)+1+18)=3,DATE($B$2+1,3,1)-WEEKDAY(DATE($B$2+1,3,1),1)+1+18,"")</f>
        <v>46828</v>
      </c>
      <c r="V39" s="20">
        <f>IF(MONTH(DATE($B$2+1,3,1)-WEEKDAY(DATE($B$2+1,3,1),1)+1+19)=3,DATE($B$2+1,3,1)-WEEKDAY(DATE($B$2+1,3,1),1)+1+19,"")</f>
        <v>46829</v>
      </c>
      <c r="W39" s="20">
        <f>IF(MONTH(DATE($B$2+1,3,1)-WEEKDAY(DATE($B$2+1,3,1),1)+1+20)=3,DATE($B$2+1,3,1)-WEEKDAY(DATE($B$2+1,3,1),1)+1+20,"")</f>
        <v>46830</v>
      </c>
    </row>
    <row r="40" spans="1:23" ht="19.8" customHeight="1" x14ac:dyDescent="0.2">
      <c r="A40" s="20">
        <f>IF(MONTH(DATE($B$2+1,1,1)-WEEKDAY(DATE($B$2+1,1,1),1)+1+21)=1,DATE($B$2+1,1,1)-WEEKDAY(DATE($B$2+1,1,1),1)+1+21,"")</f>
        <v>46768</v>
      </c>
      <c r="B40" s="20">
        <f>IF(MONTH(DATE($B$2+1,1,1)-WEEKDAY(DATE($B$2+1,1,1),1)+1+22)=1,DATE($B$2+1,1,1)-WEEKDAY(DATE($B$2+1,1,1),1)+1+22,"")</f>
        <v>46769</v>
      </c>
      <c r="C40" s="20">
        <f>IF(MONTH(DATE($B$2+1,1,1)-WEEKDAY(DATE($B$2+1,1,1),1)+1+23)=1,DATE($B$2+1,1,1)-WEEKDAY(DATE($B$2+1,1,1),1)+1+23,"")</f>
        <v>46770</v>
      </c>
      <c r="D40" s="20">
        <f>IF(MONTH(DATE($B$2+1,1,1)-WEEKDAY(DATE($B$2+1,1,1),1)+1+24)=1,DATE($B$2+1,1,1)-WEEKDAY(DATE($B$2+1,1,1),1)+1+24,"")</f>
        <v>46771</v>
      </c>
      <c r="E40" s="20">
        <f>IF(MONTH(DATE($B$2+1,1,1)-WEEKDAY(DATE($B$2+1,1,1),1)+1+25)=1,DATE($B$2+1,1,1)-WEEKDAY(DATE($B$2+1,1,1),1)+1+25,"")</f>
        <v>46772</v>
      </c>
      <c r="F40" s="20">
        <f>IF(MONTH(DATE($B$2+1,1,1)-WEEKDAY(DATE($B$2+1,1,1),1)+1+26)=1,DATE($B$2+1,1,1)-WEEKDAY(DATE($B$2+1,1,1),1)+1+26,"")</f>
        <v>46773</v>
      </c>
      <c r="G40" s="20">
        <f>IF(MONTH(DATE($B$2+1,1,1)-WEEKDAY(DATE($B$2+1,1,1),1)+1+27)=1,DATE($B$2+1,1,1)-WEEKDAY(DATE($B$2+1,1,1),1)+1+27,"")</f>
        <v>46774</v>
      </c>
      <c r="I40" s="20">
        <f>IF(MONTH(DATE($B$2+1,2,1)-WEEKDAY(DATE($B$2+1,2,1),1)+1+21)=2,DATE($B$2+1,2,1)-WEEKDAY(DATE($B$2+1,2,1),1)+1+21,"")</f>
        <v>46803</v>
      </c>
      <c r="J40" s="20">
        <f>IF(MONTH(DATE($B$2+1,2,1)-WEEKDAY(DATE($B$2+1,2,1),1)+1+22)=2,DATE($B$2+1,2,1)-WEEKDAY(DATE($B$2+1,2,1),1)+1+22,"")</f>
        <v>46804</v>
      </c>
      <c r="K40" s="20">
        <f>IF(MONTH(DATE($B$2+1,2,1)-WEEKDAY(DATE($B$2+1,2,1),1)+1+23)=2,DATE($B$2+1,2,1)-WEEKDAY(DATE($B$2+1,2,1),1)+1+23,"")</f>
        <v>46805</v>
      </c>
      <c r="L40" s="20">
        <f>IF(MONTH(DATE($B$2+1,2,1)-WEEKDAY(DATE($B$2+1,2,1),1)+1+24)=2,DATE($B$2+1,2,1)-WEEKDAY(DATE($B$2+1,2,1),1)+1+24,"")</f>
        <v>46806</v>
      </c>
      <c r="M40" s="20">
        <f>IF(MONTH(DATE($B$2+1,2,1)-WEEKDAY(DATE($B$2+1,2,1),1)+1+25)=2,DATE($B$2+1,2,1)-WEEKDAY(DATE($B$2+1,2,1),1)+1+25,"")</f>
        <v>46807</v>
      </c>
      <c r="N40" s="20">
        <f>IF(MONTH(DATE($B$2+1,2,1)-WEEKDAY(DATE($B$2+1,2,1),1)+1+26)=2,DATE($B$2+1,2,1)-WEEKDAY(DATE($B$2+1,2,1),1)+1+26,"")</f>
        <v>46808</v>
      </c>
      <c r="O40" s="20">
        <f>IF(MONTH(DATE($B$2+1,2,1)-WEEKDAY(DATE($B$2+1,2,1),1)+1+27)=2,DATE($B$2+1,2,1)-WEEKDAY(DATE($B$2+1,2,1),1)+1+27,"")</f>
        <v>46809</v>
      </c>
      <c r="Q40" s="20">
        <f>IF(MONTH(DATE($B$2+1,3,1)-WEEKDAY(DATE($B$2+1,3,1),1)+1+21)=3,DATE($B$2+1,3,1)-WEEKDAY(DATE($B$2+1,3,1),1)+1+21,"")</f>
        <v>46831</v>
      </c>
      <c r="R40" s="20">
        <f>IF(MONTH(DATE($B$2+1,3,1)-WEEKDAY(DATE($B$2+1,3,1),1)+1+22)=3,DATE($B$2+1,3,1)-WEEKDAY(DATE($B$2+1,3,1),1)+1+22,"")</f>
        <v>46832</v>
      </c>
      <c r="S40" s="20">
        <f>IF(MONTH(DATE($B$2+1,3,1)-WEEKDAY(DATE($B$2+1,3,1),1)+1+23)=3,DATE($B$2+1,3,1)-WEEKDAY(DATE($B$2+1,3,1),1)+1+23,"")</f>
        <v>46833</v>
      </c>
      <c r="T40" s="20">
        <f>IF(MONTH(DATE($B$2+1,3,1)-WEEKDAY(DATE($B$2+1,3,1),1)+1+24)=3,DATE($B$2+1,3,1)-WEEKDAY(DATE($B$2+1,3,1),1)+1+24,"")</f>
        <v>46834</v>
      </c>
      <c r="U40" s="20">
        <f>IF(MONTH(DATE($B$2+1,3,1)-WEEKDAY(DATE($B$2+1,3,1),1)+1+25)=3,DATE($B$2+1,3,1)-WEEKDAY(DATE($B$2+1,3,1),1)+1+25,"")</f>
        <v>46835</v>
      </c>
      <c r="V40" s="20">
        <f>IF(MONTH(DATE($B$2+1,3,1)-WEEKDAY(DATE($B$2+1,3,1),1)+1+26)=3,DATE($B$2+1,3,1)-WEEKDAY(DATE($B$2+1,3,1),1)+1+26,"")</f>
        <v>46836</v>
      </c>
      <c r="W40" s="20">
        <f>IF(MONTH(DATE($B$2+1,3,1)-WEEKDAY(DATE($B$2+1,3,1),1)+1+27)=3,DATE($B$2+1,3,1)-WEEKDAY(DATE($B$2+1,3,1),1)+1+27,"")</f>
        <v>46837</v>
      </c>
    </row>
    <row r="41" spans="1:23" ht="19.8" customHeight="1" x14ac:dyDescent="0.2">
      <c r="A41" s="20">
        <f>IF(MONTH(DATE($B$2+1,1,1)-WEEKDAY(DATE($B$2+1,1,1),1)+1+28)=1,DATE($B$2+1,1,1)-WEEKDAY(DATE($B$2+1,1,1),1)+1+28,"")</f>
        <v>46775</v>
      </c>
      <c r="B41" s="20">
        <f>IF(MONTH(DATE($B$2+1,1,1)-WEEKDAY(DATE($B$2+1,1,1),1)+1+29)=1,DATE($B$2+1,1,1)-WEEKDAY(DATE($B$2+1,1,1),1)+1+29,"")</f>
        <v>46776</v>
      </c>
      <c r="C41" s="20">
        <f>IF(MONTH(DATE($B$2+1,1,1)-WEEKDAY(DATE($B$2+1,1,1),1)+1+30)=1,DATE($B$2+1,1,1)-WEEKDAY(DATE($B$2+1,1,1),1)+1+30,"")</f>
        <v>46777</v>
      </c>
      <c r="D41" s="20">
        <f>IF(MONTH(DATE($B$2+1,1,1)-WEEKDAY(DATE($B$2+1,1,1),1)+1+31)=1,DATE($B$2+1,1,1)-WEEKDAY(DATE($B$2+1,1,1),1)+1+31,"")</f>
        <v>46778</v>
      </c>
      <c r="E41" s="20">
        <f>IF(MONTH(DATE($B$2+1,1,1)-WEEKDAY(DATE($B$2+1,1,1),1)+1+32)=1,DATE($B$2+1,1,1)-WEEKDAY(DATE($B$2+1,1,1),1)+1+32,"")</f>
        <v>46779</v>
      </c>
      <c r="F41" s="20">
        <f>IF(MONTH(DATE($B$2+1,1,1)-WEEKDAY(DATE($B$2+1,1,1),1)+1+33)=1,DATE($B$2+1,1,1)-WEEKDAY(DATE($B$2+1,1,1),1)+1+33,"")</f>
        <v>46780</v>
      </c>
      <c r="G41" s="20">
        <f>IF(MONTH(DATE($B$2+1,1,1)-WEEKDAY(DATE($B$2+1,1,1),1)+1+34)=1,DATE($B$2+1,1,1)-WEEKDAY(DATE($B$2+1,1,1),1)+1+34,"")</f>
        <v>46781</v>
      </c>
      <c r="I41" s="20">
        <f>IF(MONTH(DATE($B$2+1,2,1)-WEEKDAY(DATE($B$2+1,2,1),1)+1+28)=2,DATE($B$2+1,2,1)-WEEKDAY(DATE($B$2+1,2,1),1)+1+28,"")</f>
        <v>46810</v>
      </c>
      <c r="J41" s="20">
        <f>IF(MONTH(DATE($B$2+1,2,1)-WEEKDAY(DATE($B$2+1,2,1),1)+1+29)=2,DATE($B$2+1,2,1)-WEEKDAY(DATE($B$2+1,2,1),1)+1+29,"")</f>
        <v>46811</v>
      </c>
      <c r="K41" s="20">
        <f>IF(MONTH(DATE($B$2+1,2,1)-WEEKDAY(DATE($B$2+1,2,1),1)+1+30)=2,DATE($B$2+1,2,1)-WEEKDAY(DATE($B$2+1,2,1),1)+1+30,"")</f>
        <v>46812</v>
      </c>
      <c r="L41" s="20" t="str">
        <f>IF(MONTH(DATE($B$2+1,2,1)-WEEKDAY(DATE($B$2+1,2,1),1)+1+31)=2,DATE($B$2+1,2,1)-WEEKDAY(DATE($B$2+1,2,1),1)+1+31,"")</f>
        <v/>
      </c>
      <c r="M41" s="20" t="str">
        <f>IF(MONTH(DATE($B$2+1,2,1)-WEEKDAY(DATE($B$2+1,2,1),1)+1+32)=2,DATE($B$2+1,2,1)-WEEKDAY(DATE($B$2+1,2,1),1)+1+32,"")</f>
        <v/>
      </c>
      <c r="N41" s="20" t="str">
        <f>IF(MONTH(DATE($B$2+1,2,1)-WEEKDAY(DATE($B$2+1,2,1),1)+1+33)=2,DATE($B$2+1,2,1)-WEEKDAY(DATE($B$2+1,2,1),1)+1+33,"")</f>
        <v/>
      </c>
      <c r="O41" s="20" t="str">
        <f>IF(MONTH(DATE($B$2+1,2,1)-WEEKDAY(DATE($B$2+1,2,1),1)+1+34)=2,DATE($B$2+1,2,1)-WEEKDAY(DATE($B$2+1,2,1),1)+1+34,"")</f>
        <v/>
      </c>
      <c r="Q41" s="20">
        <f>IF(MONTH(DATE($B$2+1,3,1)-WEEKDAY(DATE($B$2+1,3,1),1)+1+28)=3,DATE($B$2+1,3,1)-WEEKDAY(DATE($B$2+1,3,1),1)+1+28,"")</f>
        <v>46838</v>
      </c>
      <c r="R41" s="20">
        <f>IF(MONTH(DATE($B$2+1,3,1)-WEEKDAY(DATE($B$2+1,3,1),1)+1+29)=3,DATE($B$2+1,3,1)-WEEKDAY(DATE($B$2+1,3,1),1)+1+29,"")</f>
        <v>46839</v>
      </c>
      <c r="S41" s="20">
        <f>IF(MONTH(DATE($B$2+1,3,1)-WEEKDAY(DATE($B$2+1,3,1),1)+1+30)=3,DATE($B$2+1,3,1)-WEEKDAY(DATE($B$2+1,3,1),1)+1+30,"")</f>
        <v>46840</v>
      </c>
      <c r="T41" s="20">
        <f>IF(MONTH(DATE($B$2+1,3,1)-WEEKDAY(DATE($B$2+1,3,1),1)+1+31)=3,DATE($B$2+1,3,1)-WEEKDAY(DATE($B$2+1,3,1),1)+1+31,"")</f>
        <v>46841</v>
      </c>
      <c r="U41" s="20">
        <f>IF(MONTH(DATE($B$2+1,3,1)-WEEKDAY(DATE($B$2+1,3,1),1)+1+32)=3,DATE($B$2+1,3,1)-WEEKDAY(DATE($B$2+1,3,1),1)+1+32,"")</f>
        <v>46842</v>
      </c>
      <c r="V41" s="20">
        <f>IF(MONTH(DATE($B$2+1,3,1)-WEEKDAY(DATE($B$2+1,3,1),1)+1+33)=3,DATE($B$2+1,3,1)-WEEKDAY(DATE($B$2+1,3,1),1)+1+33,"")</f>
        <v>46843</v>
      </c>
      <c r="W41" s="20" t="str">
        <f>IF(MONTH(DATE($B$2+1,3,1)-WEEKDAY(DATE($B$2+1,3,1),1)+1+34)=3,DATE($B$2+1,3,1)-WEEKDAY(DATE($B$2+1,3,1),1)+1+34,"")</f>
        <v/>
      </c>
    </row>
    <row r="42" spans="1:23" ht="19.8" customHeight="1" x14ac:dyDescent="0.2">
      <c r="A42" s="20">
        <f>IF(MONTH(DATE($B$2+1,1,1)-WEEKDAY(DATE($B$2+1,1,1),1)+1+35)=1,DATE($B$2+1,1,1)-WEEKDAY(DATE($B$2+1,1,1),1)+1+35,"")</f>
        <v>46782</v>
      </c>
      <c r="B42" s="20">
        <f>IF(MONTH(DATE($B$2+1,1,1)-WEEKDAY(DATE($B$2+1,1,1),1)+1+36)=1,DATE($B$2+1,1,1)-WEEKDAY(DATE($B$2+1,1,1),1)+1+36,"")</f>
        <v>46783</v>
      </c>
      <c r="C42" s="20" t="str">
        <f>IF(MONTH(DATE($B$2+1,1,1)-WEEKDAY(DATE($B$2+1,1,1),1)+1+37)=1,DATE($B$2+1,1,1)-WEEKDAY(DATE($B$2+1,1,1),1)+1+37,"")</f>
        <v/>
      </c>
      <c r="D42" s="20" t="str">
        <f>IF(MONTH(DATE($B$2+1,1,1)-WEEKDAY(DATE($B$2+1,1,1),1)+1+38)=1,DATE($B$2+1,1,1)-WEEKDAY(DATE($B$2+1,1,1),1)+1+38,"")</f>
        <v/>
      </c>
      <c r="E42" s="20" t="str">
        <f>IF(MONTH(DATE($B$2+1,1,1)-WEEKDAY(DATE($B$2+1,1,1),1)+1+39)=1,DATE($B$2+1,1,1)-WEEKDAY(DATE($B$2+1,1,1),1)+1+39,"")</f>
        <v/>
      </c>
      <c r="F42" s="20" t="str">
        <f>IF(MONTH(DATE($B$2+1,1,1)-WEEKDAY(DATE($B$2+1,1,1),1)+1+40)=1,DATE($B$2+1,1,1)-WEEKDAY(DATE($B$2+1,1,1),1)+1+40,"")</f>
        <v/>
      </c>
      <c r="G42" s="20" t="str">
        <f>IF(MONTH(DATE($B$2+1,1,1)-WEEKDAY(DATE($B$2+1,1,1),1)+1+41)=1,DATE($B$2+1,1,1)-WEEKDAY(DATE($B$2+1,1,1),1)+1+41,"")</f>
        <v/>
      </c>
      <c r="I42" s="20" t="str">
        <f>IF(MONTH(DATE($B$2+1,2,1)-WEEKDAY(DATE($B$2+1,2,1),1)+1+35)=2,DATE($B$2+1,2,1)-WEEKDAY(DATE($B$2+1,2,1),1)+1+35,"")</f>
        <v/>
      </c>
      <c r="J42" s="20" t="str">
        <f>IF(MONTH(DATE($B$2+1,2,1)-WEEKDAY(DATE($B$2+1,2,1),1)+1+36)=2,DATE($B$2+1,2,1)-WEEKDAY(DATE($B$2+1,2,1),1)+1+36,"")</f>
        <v/>
      </c>
      <c r="K42" s="20" t="str">
        <f>IF(MONTH(DATE($B$2+1,2,1)-WEEKDAY(DATE($B$2+1,2,1),1)+1+37)=2,DATE($B$2+1,2,1)-WEEKDAY(DATE($B$2+1,2,1),1)+1+37,"")</f>
        <v/>
      </c>
      <c r="L42" s="20" t="str">
        <f>IF(MONTH(DATE($B$2+1,2,1)-WEEKDAY(DATE($B$2+1,2,1),1)+1+38)=2,DATE($B$2+1,2,1)-WEEKDAY(DATE($B$2+1,2,1),1)+1+38,"")</f>
        <v/>
      </c>
      <c r="M42" s="20" t="str">
        <f>IF(MONTH(DATE($B$2+1,2,1)-WEEKDAY(DATE($B$2+1,2,1),1)+1+39)=2,DATE($B$2+1,2,1)-WEEKDAY(DATE($B$2+1,2,1),1)+1+39,"")</f>
        <v/>
      </c>
      <c r="N42" s="20" t="str">
        <f>IF(MONTH(DATE($B$2+1,2,1)-WEEKDAY(DATE($B$2+1,2,1),1)+1+40)=2,DATE($B$2+1,2,1)-WEEKDAY(DATE($B$2+1,2,1),1)+1+40,"")</f>
        <v/>
      </c>
      <c r="O42" s="20" t="str">
        <f>IF(MONTH(DATE($B$2+1,2,1)-WEEKDAY(DATE($B$2+1,2,1),1)+1+41)=2,DATE($B$2+1,2,1)-WEEKDAY(DATE($B$2+1,2,1),1)+1+41,"")</f>
        <v/>
      </c>
      <c r="Q42" s="20" t="str">
        <f>IF(MONTH(DATE($B$2+1,3,1)-WEEKDAY(DATE($B$2+1,3,1),1)+1+35)=3,DATE($B$2+1,3,1)-WEEKDAY(DATE($B$2+1,3,1),1)+1+35,"")</f>
        <v/>
      </c>
      <c r="R42" s="20" t="str">
        <f>IF(MONTH(DATE($B$2+1,3,1)-WEEKDAY(DATE($B$2+1,3,1),1)+1+36)=3,DATE($B$2+1,3,1)-WEEKDAY(DATE($B$2+1,3,1),1)+1+36,"")</f>
        <v/>
      </c>
      <c r="S42" s="20" t="str">
        <f>IF(MONTH(DATE($B$2+1,3,1)-WEEKDAY(DATE($B$2+1,3,1),1)+1+37)=3,DATE($B$2+1,3,1)-WEEKDAY(DATE($B$2+1,3,1),1)+1+37,"")</f>
        <v/>
      </c>
      <c r="T42" s="20" t="str">
        <f>IF(MONTH(DATE($B$2+1,3,1)-WEEKDAY(DATE($B$2+1,3,1),1)+1+38)=3,DATE($B$2+1,3,1)-WEEKDAY(DATE($B$2+1,3,1),1)+1+38,"")</f>
        <v/>
      </c>
      <c r="U42" s="20" t="str">
        <f>IF(MONTH(DATE($B$2+1,3,1)-WEEKDAY(DATE($B$2+1,3,1),1)+1+39)=3,DATE($B$2+1,3,1)-WEEKDAY(DATE($B$2+1,3,1),1)+1+39,"")</f>
        <v/>
      </c>
      <c r="V42" s="20" t="str">
        <f>IF(MONTH(DATE($B$2+1,3,1)-WEEKDAY(DATE($B$2+1,3,1),1)+1+40)=3,DATE($B$2+1,3,1)-WEEKDAY(DATE($B$2+1,3,1),1)+1+40,"")</f>
        <v/>
      </c>
      <c r="W42" s="20" t="str">
        <f>IF(MONTH(DATE($B$2+1,3,1)-WEEKDAY(DATE($B$2+1,3,1),1)+1+41)=3,DATE($B$2+1,3,1)-WEEKDAY(DATE($B$2+1,3,1),1)+1+41,"")</f>
        <v/>
      </c>
    </row>
    <row r="43" spans="1:23" ht="30" hidden="1" customHeight="1" x14ac:dyDescent="0.2"/>
    <row r="44" spans="1:23" ht="30" hidden="1" customHeight="1" x14ac:dyDescent="0.2"/>
    <row r="45" spans="1:23" ht="30" hidden="1" customHeight="1" x14ac:dyDescent="0.2"/>
    <row r="46" spans="1:23" ht="30" hidden="1" customHeight="1" x14ac:dyDescent="0.2"/>
    <row r="47" spans="1:23" ht="30" hidden="1" customHeight="1" x14ac:dyDescent="0.2"/>
    <row r="48" spans="1:23" ht="30" hidden="1" customHeight="1" x14ac:dyDescent="0.2"/>
    <row r="49" spans="2:22" ht="30" hidden="1" customHeight="1" x14ac:dyDescent="0.2"/>
    <row r="50" spans="2:22" ht="30" hidden="1" customHeight="1" x14ac:dyDescent="0.2"/>
    <row r="51" spans="2:22" ht="30" hidden="1" customHeight="1" x14ac:dyDescent="0.2"/>
    <row r="52" spans="2:22" ht="30" hidden="1" customHeight="1" x14ac:dyDescent="0.2"/>
    <row r="53" spans="2:22" ht="30" hidden="1" customHeight="1" x14ac:dyDescent="0.2"/>
    <row r="54" spans="2:22" ht="30" hidden="1" customHeight="1" x14ac:dyDescent="0.2"/>
    <row r="55" spans="2:22" ht="30" hidden="1" customHeight="1" x14ac:dyDescent="0.2"/>
    <row r="56" spans="2:22" ht="30" hidden="1" customHeight="1" x14ac:dyDescent="0.2"/>
    <row r="58" spans="2:22" ht="25.05" customHeight="1" x14ac:dyDescent="0.2">
      <c r="B58" s="17"/>
      <c r="C58" s="26" t="s">
        <v>8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2:22" ht="25.05" customHeight="1" x14ac:dyDescent="0.2">
      <c r="B59" s="26" t="s">
        <v>9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2:22" ht="25.05" customHeight="1" x14ac:dyDescent="0.2">
      <c r="B60" s="26" t="s">
        <v>10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2:22" ht="25.05" customHeight="1" x14ac:dyDescent="0.2">
      <c r="B61" s="27" t="s">
        <v>11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2:22" ht="25.05" customHeight="1" x14ac:dyDescent="0.2"/>
  </sheetData>
  <mergeCells count="32">
    <mergeCell ref="C58:V58"/>
    <mergeCell ref="B59:V59"/>
    <mergeCell ref="B60:V60"/>
    <mergeCell ref="B61:V61"/>
    <mergeCell ref="Q24:R24"/>
    <mergeCell ref="S24:U24"/>
    <mergeCell ref="V24:W24"/>
    <mergeCell ref="A34:C34"/>
    <mergeCell ref="E34:G34"/>
    <mergeCell ref="I34:K34"/>
    <mergeCell ref="M34:O34"/>
    <mergeCell ref="Q34:S34"/>
    <mergeCell ref="U34:W34"/>
    <mergeCell ref="C24:E24"/>
    <mergeCell ref="F24:G24"/>
    <mergeCell ref="I24:J24"/>
    <mergeCell ref="K24:M24"/>
    <mergeCell ref="N24:O24"/>
    <mergeCell ref="A24:B24"/>
    <mergeCell ref="I14:K14"/>
    <mergeCell ref="Q14:S14"/>
    <mergeCell ref="A1:W1"/>
    <mergeCell ref="E14:G14"/>
    <mergeCell ref="E4:G4"/>
    <mergeCell ref="M4:O4"/>
    <mergeCell ref="U4:W4"/>
    <mergeCell ref="Q4:S4"/>
    <mergeCell ref="I4:K4"/>
    <mergeCell ref="A4:C4"/>
    <mergeCell ref="A14:C14"/>
    <mergeCell ref="U14:W14"/>
    <mergeCell ref="M14:O14"/>
  </mergeCells>
  <phoneticPr fontId="1"/>
  <conditionalFormatting sqref="A7:G12">
    <cfRule type="expression" dxfId="33" priority="39">
      <formula>AND(ISNUMBER(A7),WEEKDAY(A7,2)=6)</formula>
    </cfRule>
  </conditionalFormatting>
  <conditionalFormatting sqref="A17:G22">
    <cfRule type="expression" dxfId="30" priority="417">
      <formula>AND(ISNUMBER(A17),WEEKDAY(A17,2)=6)</formula>
    </cfRule>
  </conditionalFormatting>
  <conditionalFormatting sqref="A27:G32">
    <cfRule type="expression" dxfId="27" priority="795">
      <formula>AND(ISNUMBER(A27),WEEKDAY(A27,2)=6)</formula>
    </cfRule>
  </conditionalFormatting>
  <conditionalFormatting sqref="A37:G42">
    <cfRule type="expression" dxfId="24" priority="1173">
      <formula>AND(ISNUMBER(A37),WEEKDAY(A37,2)=6)</formula>
    </cfRule>
  </conditionalFormatting>
  <conditionalFormatting sqref="I7:O12">
    <cfRule type="expression" dxfId="21" priority="165">
      <formula>AND(ISNUMBER(I7),WEEKDAY(I7,2)=6)</formula>
    </cfRule>
  </conditionalFormatting>
  <conditionalFormatting sqref="I17:O22">
    <cfRule type="expression" dxfId="18" priority="543">
      <formula>AND(ISNUMBER(I17),WEEKDAY(I17,2)=6)</formula>
    </cfRule>
  </conditionalFormatting>
  <conditionalFormatting sqref="I27:O32">
    <cfRule type="expression" dxfId="15" priority="921">
      <formula>AND(ISNUMBER(I27),WEEKDAY(I27,2)=6)</formula>
    </cfRule>
  </conditionalFormatting>
  <conditionalFormatting sqref="I37:O42">
    <cfRule type="expression" dxfId="12" priority="1299">
      <formula>AND(ISNUMBER(I37),WEEKDAY(I37,2)=6)</formula>
    </cfRule>
  </conditionalFormatting>
  <conditionalFormatting sqref="Q7:W12">
    <cfRule type="expression" dxfId="9" priority="291">
      <formula>AND(ISNUMBER(Q7),WEEKDAY(Q7,2)=6)</formula>
    </cfRule>
  </conditionalFormatting>
  <conditionalFormatting sqref="Q17:W22">
    <cfRule type="expression" dxfId="6" priority="669">
      <formula>AND(ISNUMBER(Q17),WEEKDAY(Q17,2)=6)</formula>
    </cfRule>
  </conditionalFormatting>
  <conditionalFormatting sqref="Q27:W32">
    <cfRule type="expression" dxfId="3" priority="1047">
      <formula>AND(ISNUMBER(Q27),WEEKDAY(Q27,2)=6)</formula>
    </cfRule>
  </conditionalFormatting>
  <conditionalFormatting sqref="Q37:W42">
    <cfRule type="expression" dxfId="0" priority="1425">
      <formula>AND(ISNUMBER(Q37),WEEKDAY(Q37,2)=6)</formula>
    </cfRule>
  </conditionalFormatting>
  <dataValidations count="1">
    <dataValidation sqref="B2" xr:uid="{00000000-0002-0000-0000-000000000000}">
      <formula1>2027</formula1>
      <formula2>2049</formula2>
    </dataValidation>
  </dataValidations>
  <pageMargins left="0.7" right="0.7" top="0.75" bottom="0.75" header="0.3" footer="0.3"/>
  <pageSetup paperSize="9" scale="91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" id="{00000000-000E-0000-0000-000025000000}">
            <xm:f>AND(ISNUMBER(A7),OR(AND(WEEKDAY(A7,2)=1,DAY(A7)&gt;=15,DAY(A7)&lt;=21,COUNTIF(祝日マスター!$A$2:$A$500,A7)=0),AND(WEEKDAY(A7-1,2)=1,DAY(A7-1)&gt;=15,DAY(A7-1)&lt;=21,COUNTIF(祝日マスター!$A$2:$A$500,A7-1)&gt;0),AND(MONTH(A7)=12,DAY(A7)&gt;=29),AND(MONTH(A7)=1,DAY(A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38" id="{00000000-000E-0000-0000-000026000000}">
            <xm:f>AND(ISNUMBER(A7),OR(WEEKDAY(A7,2)=7,COUNTIF(祝日マスター!$A$2:$A$500,A7)&gt;0))</xm:f>
            <x14:dxf>
              <font>
                <b/>
                <color rgb="FFFF0000"/>
              </font>
            </x14:dxf>
          </x14:cfRule>
          <xm:sqref>A7:G12</xm:sqref>
        </x14:conditionalFormatting>
        <x14:conditionalFormatting xmlns:xm="http://schemas.microsoft.com/office/excel/2006/main">
          <x14:cfRule type="expression" priority="415" id="{00000000-000E-0000-0000-00009F010000}">
            <xm:f>AND(ISNUMBER(A17),OR(AND(WEEKDAY(A17,2)=1,DAY(A17)&gt;=15,DAY(A17)&lt;=21,COUNTIF(祝日マスター!$A$2:$A$500,A17)=0),AND(WEEKDAY(A17-1,2)=1,DAY(A17-1)&gt;=15,DAY(A17-1)&lt;=21,COUNTIF(祝日マスター!$A$2:$A$500,A17-1)&gt;0),AND(MONTH(A17)=12,DAY(A17)&gt;=29),AND(MONTH(A17)=1,DAY(A17)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416" id="{00000000-000E-0000-0000-0000A0010000}">
            <xm:f>AND(ISNUMBER(A17),OR(WEEKDAY(A17,2)=7,COUNTIF(祝日マスター!$A$2:$A$500,A17)&gt;0))</xm:f>
            <x14:dxf>
              <font>
                <b/>
                <color rgb="FFFF0000"/>
              </font>
            </x14:dxf>
          </x14:cfRule>
          <xm:sqref>A17:G22</xm:sqref>
        </x14:conditionalFormatting>
        <x14:conditionalFormatting xmlns:xm="http://schemas.microsoft.com/office/excel/2006/main">
          <x14:cfRule type="expression" priority="793" id="{00000000-000E-0000-0000-000019030000}">
            <xm:f>AND(ISNUMBER(A27),OR(AND(WEEKDAY(A27,2)=1,DAY(A27)&gt;=15,DAY(A27)&lt;=21,COUNTIF(祝日マスター!$A$2:$A$500,A27)=0),AND(WEEKDAY(A27-1,2)=1,DAY(A27-1)&gt;=15,DAY(A27-1)&lt;=21,COUNTIF(祝日マスター!$A$2:$A$500,A27-1)&gt;0),AND(MONTH(A27)=12,DAY(A27)&gt;=29),AND(MONTH(A27)=1,DAY(A27)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794" id="{00000000-000E-0000-0000-00001A030000}">
            <xm:f>AND(ISNUMBER(A27),OR(WEEKDAY(A27,2)=7,COUNTIF(祝日マスター!$A$2:$A$500,A27)&gt;0))</xm:f>
            <x14:dxf>
              <font>
                <b/>
                <color rgb="FFFF0000"/>
              </font>
            </x14:dxf>
          </x14:cfRule>
          <xm:sqref>A27:G32</xm:sqref>
        </x14:conditionalFormatting>
        <x14:conditionalFormatting xmlns:xm="http://schemas.microsoft.com/office/excel/2006/main">
          <x14:cfRule type="expression" priority="1171" id="{00000000-000E-0000-0000-000093040000}">
            <xm:f>AND(ISNUMBER(A37),OR(AND(WEEKDAY(A37,2)=1,DAY(A37)&gt;=15,DAY(A37)&lt;=21,COUNTIF(祝日マスター!$A$2:$A$500,A37)=0),AND(WEEKDAY(A37-1,2)=1,DAY(A37-1)&gt;=15,DAY(A37-1)&lt;=21,COUNTIF(祝日マスター!$A$2:$A$500,A37-1)&gt;0),AND(MONTH(A37)=12,DAY(A37)&gt;=29),AND(MONTH(A37)=1,DAY(A37)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1172" id="{00000000-000E-0000-0000-000094040000}">
            <xm:f>AND(ISNUMBER(A37),OR(WEEKDAY(A37,2)=7,COUNTIF(祝日マスター!$A$2:$A$500,A37)&gt;0))</xm:f>
            <x14:dxf>
              <font>
                <b/>
                <color rgb="FFFF0000"/>
              </font>
            </x14:dxf>
          </x14:cfRule>
          <xm:sqref>A37:G42</xm:sqref>
        </x14:conditionalFormatting>
        <x14:conditionalFormatting xmlns:xm="http://schemas.microsoft.com/office/excel/2006/main">
          <x14:cfRule type="expression" priority="163" id="{00000000-000E-0000-0000-0000A3000000}">
            <xm:f>AND(ISNUMBER(I7),OR(AND(WEEKDAY(I7,2)=1,DAY(I7)&gt;=15,DAY(I7)&lt;=21,COUNTIF(祝日マスター!$A$2:$A$500,I7)=0),AND(WEEKDAY(I7-1,2)=1,DAY(I7-1)&gt;=15,DAY(I7-1)&lt;=21,COUNTIF(祝日マスター!$A$2:$A$500,I7-1)&gt;0),AND(MONTH(I7)=12,DAY(I7)&gt;=29),AND(MONTH(I7)=1,DAY(I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164" id="{00000000-000E-0000-0000-0000A4000000}">
            <xm:f>AND(ISNUMBER(I7),OR(WEEKDAY(I7,2)=7,COUNTIF(祝日マスター!$A$2:$A$500,I7)&gt;0))</xm:f>
            <x14:dxf>
              <font>
                <b/>
                <color rgb="FFFF0000"/>
              </font>
            </x14:dxf>
          </x14:cfRule>
          <xm:sqref>I7:O12</xm:sqref>
        </x14:conditionalFormatting>
        <x14:conditionalFormatting xmlns:xm="http://schemas.microsoft.com/office/excel/2006/main">
          <x14:cfRule type="expression" priority="541" id="{00000000-000E-0000-0000-00001D020000}">
            <xm:f>AND(ISNUMBER(I17),OR(AND(WEEKDAY(I17,2)=1,DAY(I17)&gt;=15,DAY(I17)&lt;=21,COUNTIF(祝日マスター!$A$2:$A$500,I17)=0),AND(WEEKDAY(I17-1,2)=1,DAY(I17-1)&gt;=15,DAY(I17-1)&lt;=21,COUNTIF(祝日マスター!$A$2:$A$500,I17-1)&gt;0),AND(MONTH(I17)=12,DAY(I17)&gt;=29),AND(MONTH(I17)=1,DAY(I17)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542" id="{00000000-000E-0000-0000-00001E020000}">
            <xm:f>AND(ISNUMBER(I17),OR(WEEKDAY(I17,2)=7,COUNTIF(祝日マスター!$A$2:$A$500,I17)&gt;0))</xm:f>
            <x14:dxf>
              <font>
                <b/>
                <color rgb="FFFF0000"/>
              </font>
            </x14:dxf>
          </x14:cfRule>
          <xm:sqref>I17:O22</xm:sqref>
        </x14:conditionalFormatting>
        <x14:conditionalFormatting xmlns:xm="http://schemas.microsoft.com/office/excel/2006/main">
          <x14:cfRule type="expression" priority="919" id="{00000000-000E-0000-0000-000097030000}">
            <xm:f>AND(ISNUMBER(I27),OR(AND(WEEKDAY(I27,2)=1,DAY(I27)&gt;=15,DAY(I27)&lt;=21,COUNTIF(祝日マスター!$A$2:$A$500,I27)=0),AND(WEEKDAY(I27-1,2)=1,DAY(I27-1)&gt;=15,DAY(I27-1)&lt;=21,COUNTIF(祝日マスター!$A$2:$A$500,I27-1)&gt;0),AND(MONTH(I27)=12,DAY(I27)&gt;=29),AND(MONTH(I27)=1,DAY(I27)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920" id="{00000000-000E-0000-0000-000098030000}">
            <xm:f>AND(ISNUMBER(I27),OR(WEEKDAY(I27,2)=7,COUNTIF(祝日マスター!$A$2:$A$500,I27)&gt;0))</xm:f>
            <x14:dxf>
              <font>
                <b/>
                <color rgb="FFFF0000"/>
              </font>
            </x14:dxf>
          </x14:cfRule>
          <xm:sqref>I27:O32</xm:sqref>
        </x14:conditionalFormatting>
        <x14:conditionalFormatting xmlns:xm="http://schemas.microsoft.com/office/excel/2006/main">
          <x14:cfRule type="expression" priority="1297" id="{00000000-000E-0000-0000-000011050000}">
            <xm:f>AND(ISNUMBER(I37),OR(AND(WEEKDAY(I37,2)=1,DAY(I37)&gt;=15,DAY(I37)&lt;=21,COUNTIF(祝日マスター!$A$2:$A$500,I37)=0),AND(WEEKDAY(I37-1,2)=1,DAY(I37-1)&gt;=15,DAY(I37-1)&lt;=21,COUNTIF(祝日マスター!$A$2:$A$500,I37-1)&gt;0),AND(MONTH(I37)=12,DAY(I37)&gt;=29),AND(MONTH(I37)=1,DAY(I37)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1298" id="{00000000-000E-0000-0000-000012050000}">
            <xm:f>AND(ISNUMBER(I37),OR(WEEKDAY(I37,2)=7,COUNTIF(祝日マスター!$A$2:$A$500,I37)&gt;0))</xm:f>
            <x14:dxf>
              <font>
                <b/>
                <color rgb="FFFF0000"/>
              </font>
            </x14:dxf>
          </x14:cfRule>
          <xm:sqref>I37:O42</xm:sqref>
        </x14:conditionalFormatting>
        <x14:conditionalFormatting xmlns:xm="http://schemas.microsoft.com/office/excel/2006/main">
          <x14:cfRule type="expression" priority="289" id="{00000000-000E-0000-0000-000021010000}">
            <xm:f>AND(ISNUMBER(Q7),OR(AND(WEEKDAY(Q7,2)=1,DAY(Q7)&gt;=15,DAY(Q7)&lt;=21,COUNTIF(祝日マスター!$A$2:$A$500,Q7)=0),AND(WEEKDAY(Q7-1,2)=1,DAY(Q7-1)&gt;=15,DAY(Q7-1)&lt;=21,COUNTIF(祝日マスター!$A$2:$A$500,Q7-1)&gt;0),AND(MONTH(Q7)=12,DAY(Q7)&gt;=29),AND(MONTH(Q7)=1,DAY(Q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290" id="{00000000-000E-0000-0000-000022010000}">
            <xm:f>AND(ISNUMBER(Q7),OR(WEEKDAY(Q7,2)=7,COUNTIF(祝日マスター!$A$2:$A$500,Q7)&gt;0))</xm:f>
            <x14:dxf>
              <font>
                <b/>
                <color rgb="FFFF0000"/>
              </font>
            </x14:dxf>
          </x14:cfRule>
          <xm:sqref>Q7:W12</xm:sqref>
        </x14:conditionalFormatting>
        <x14:conditionalFormatting xmlns:xm="http://schemas.microsoft.com/office/excel/2006/main">
          <x14:cfRule type="expression" priority="667" id="{00000000-000E-0000-0000-00009B020000}">
            <xm:f>AND(ISNUMBER(Q17),OR(AND(WEEKDAY(Q17,2)=1,DAY(Q17)&gt;=15,DAY(Q17)&lt;=21,COUNTIF(祝日マスター!$A$2:$A$500,Q17)=0),AND(WEEKDAY(Q17-1,2)=1,DAY(Q17-1)&gt;=15,DAY(Q17-1)&lt;=21,COUNTIF(祝日マスター!$A$2:$A$500,Q17-1)&gt;0),AND(MONTH(Q17)=12,DAY(Q17)&gt;=29),AND(MONTH(Q17)=1,DAY(Q17)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668" id="{00000000-000E-0000-0000-00009C020000}">
            <xm:f>AND(ISNUMBER(Q17),OR(WEEKDAY(Q17,2)=7,COUNTIF(祝日マスター!$A$2:$A$500,Q17)&gt;0))</xm:f>
            <x14:dxf>
              <font>
                <b/>
                <color rgb="FFFF0000"/>
              </font>
            </x14:dxf>
          </x14:cfRule>
          <xm:sqref>Q17:W22</xm:sqref>
        </x14:conditionalFormatting>
        <x14:conditionalFormatting xmlns:xm="http://schemas.microsoft.com/office/excel/2006/main">
          <x14:cfRule type="expression" priority="1045" id="{00000000-000E-0000-0000-000015040000}">
            <xm:f>AND(ISNUMBER(Q27),OR(AND(WEEKDAY(Q27,2)=1,DAY(Q27)&gt;=15,DAY(Q27)&lt;=21,COUNTIF(祝日マスター!$A$2:$A$500,Q27)=0),AND(WEEKDAY(Q27-1,2)=1,DAY(Q27-1)&gt;=15,DAY(Q27-1)&lt;=21,COUNTIF(祝日マスター!$A$2:$A$500,Q27-1)&gt;0),AND(MONTH(Q27)=12,DAY(Q27)&gt;=29),AND(MONTH(Q27)=1,DAY(Q27)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1046" id="{00000000-000E-0000-0000-000016040000}">
            <xm:f>AND(ISNUMBER(Q27),OR(WEEKDAY(Q27,2)=7,COUNTIF(祝日マスター!$A$2:$A$500,Q27)&gt;0))</xm:f>
            <x14:dxf>
              <font>
                <b/>
                <color rgb="FFFF0000"/>
              </font>
            </x14:dxf>
          </x14:cfRule>
          <xm:sqref>Q27:W32</xm:sqref>
        </x14:conditionalFormatting>
        <x14:conditionalFormatting xmlns:xm="http://schemas.microsoft.com/office/excel/2006/main">
          <x14:cfRule type="expression" priority="1423" id="{00000000-000E-0000-0000-00008F050000}">
            <xm:f>AND(ISNUMBER(Q37),OR(AND(WEEKDAY(Q37,2)=1,DAY(Q37)&gt;=15,DAY(Q37)&lt;=21,COUNTIF(祝日マスター!$A$2:$A$500,Q37)=0),AND(WEEKDAY(Q37-1,2)=1,DAY(Q37-1)&gt;=15,DAY(Q37-1)&lt;=21,COUNTIF(祝日マスター!$A$2:$A$500,Q37-1)&gt;0),AND(MONTH(Q37)=12,DAY(Q37)&gt;=29),AND(MONTH(Q37)=1,DAY(Q37)&lt;=3)))</xm:f>
            <x14:dxf>
              <fill>
                <patternFill>
                  <bgColor rgb="FFFFC000"/>
                </patternFill>
              </fill>
            </x14:dxf>
          </x14:cfRule>
          <x14:cfRule type="expression" priority="1424" id="{00000000-000E-0000-0000-000090050000}">
            <xm:f>AND(ISNUMBER(Q37),OR(WEEKDAY(Q37,2)=7,COUNTIF(祝日マスター!$A$2:$A$500,Q37)&gt;0))</xm:f>
            <x14:dxf>
              <font>
                <b/>
                <color rgb="FFFF0000"/>
              </font>
            </x14:dxf>
          </x14:cfRule>
          <xm:sqref>Q37:W42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7"/>
  <sheetViews>
    <sheetView workbookViewId="0"/>
  </sheetViews>
  <sheetFormatPr defaultRowHeight="13.2" x14ac:dyDescent="0.2"/>
  <cols>
    <col min="1" max="1" width="12.33203125" customWidth="1"/>
  </cols>
  <sheetData>
    <row r="1" spans="1:4" x14ac:dyDescent="0.2">
      <c r="A1" t="s">
        <v>12</v>
      </c>
      <c r="B1" t="s">
        <v>13</v>
      </c>
      <c r="D1" t="s">
        <v>14</v>
      </c>
    </row>
    <row r="2" spans="1:4" x14ac:dyDescent="0.2">
      <c r="A2" s="19">
        <v>46388</v>
      </c>
      <c r="B2" t="s">
        <v>15</v>
      </c>
    </row>
    <row r="3" spans="1:4" x14ac:dyDescent="0.2">
      <c r="A3" s="19">
        <v>46398</v>
      </c>
      <c r="B3" t="s">
        <v>16</v>
      </c>
    </row>
    <row r="4" spans="1:4" x14ac:dyDescent="0.2">
      <c r="A4" s="19">
        <v>46429</v>
      </c>
      <c r="B4" t="s">
        <v>17</v>
      </c>
    </row>
    <row r="5" spans="1:4" x14ac:dyDescent="0.2">
      <c r="A5" s="19">
        <v>46441</v>
      </c>
      <c r="B5" t="s">
        <v>18</v>
      </c>
    </row>
    <row r="6" spans="1:4" x14ac:dyDescent="0.2">
      <c r="A6" s="19">
        <v>46467</v>
      </c>
      <c r="B6" t="s">
        <v>19</v>
      </c>
    </row>
    <row r="7" spans="1:4" x14ac:dyDescent="0.2">
      <c r="A7" s="19">
        <v>46468</v>
      </c>
      <c r="B7" t="s">
        <v>20</v>
      </c>
    </row>
    <row r="8" spans="1:4" x14ac:dyDescent="0.2">
      <c r="A8" s="19">
        <v>46506</v>
      </c>
      <c r="B8" t="s">
        <v>21</v>
      </c>
    </row>
    <row r="9" spans="1:4" x14ac:dyDescent="0.2">
      <c r="A9" s="19">
        <v>46510</v>
      </c>
      <c r="B9" t="s">
        <v>22</v>
      </c>
    </row>
    <row r="10" spans="1:4" x14ac:dyDescent="0.2">
      <c r="A10" s="19">
        <v>46511</v>
      </c>
      <c r="B10" t="s">
        <v>23</v>
      </c>
    </row>
    <row r="11" spans="1:4" x14ac:dyDescent="0.2">
      <c r="A11" s="19">
        <v>46512</v>
      </c>
      <c r="B11" t="s">
        <v>24</v>
      </c>
    </row>
    <row r="12" spans="1:4" x14ac:dyDescent="0.2">
      <c r="A12" s="19">
        <v>46587</v>
      </c>
      <c r="B12" t="s">
        <v>25</v>
      </c>
    </row>
    <row r="13" spans="1:4" x14ac:dyDescent="0.2">
      <c r="A13" s="19">
        <v>46610</v>
      </c>
      <c r="B13" t="s">
        <v>26</v>
      </c>
    </row>
    <row r="14" spans="1:4" x14ac:dyDescent="0.2">
      <c r="A14" s="19">
        <v>46650</v>
      </c>
      <c r="B14" t="s">
        <v>27</v>
      </c>
    </row>
    <row r="15" spans="1:4" x14ac:dyDescent="0.2">
      <c r="A15" s="19">
        <v>46653</v>
      </c>
      <c r="B15" t="s">
        <v>28</v>
      </c>
    </row>
    <row r="16" spans="1:4" x14ac:dyDescent="0.2">
      <c r="A16" s="19">
        <v>46671</v>
      </c>
      <c r="B16" t="s">
        <v>29</v>
      </c>
    </row>
    <row r="17" spans="1:2" x14ac:dyDescent="0.2">
      <c r="A17" s="19">
        <v>46694</v>
      </c>
      <c r="B17" t="s">
        <v>30</v>
      </c>
    </row>
    <row r="18" spans="1:2" x14ac:dyDescent="0.2">
      <c r="A18" s="19">
        <v>46714</v>
      </c>
      <c r="B18" t="s">
        <v>31</v>
      </c>
    </row>
    <row r="19" spans="1:2" x14ac:dyDescent="0.2">
      <c r="A19" s="19">
        <v>46753</v>
      </c>
      <c r="B19" t="s">
        <v>15</v>
      </c>
    </row>
    <row r="20" spans="1:2" x14ac:dyDescent="0.2">
      <c r="A20" s="19">
        <v>46762</v>
      </c>
      <c r="B20" t="s">
        <v>16</v>
      </c>
    </row>
    <row r="21" spans="1:2" x14ac:dyDescent="0.2">
      <c r="A21" s="19">
        <v>46794</v>
      </c>
      <c r="B21" t="s">
        <v>17</v>
      </c>
    </row>
    <row r="22" spans="1:2" x14ac:dyDescent="0.2">
      <c r="A22" s="19">
        <v>46806</v>
      </c>
      <c r="B22" t="s">
        <v>18</v>
      </c>
    </row>
    <row r="23" spans="1:2" x14ac:dyDescent="0.2">
      <c r="A23" s="19">
        <v>46832</v>
      </c>
      <c r="B23" t="s">
        <v>19</v>
      </c>
    </row>
    <row r="24" spans="1:2" x14ac:dyDescent="0.2">
      <c r="A24" s="19">
        <v>46872</v>
      </c>
      <c r="B24" t="s">
        <v>21</v>
      </c>
    </row>
    <row r="25" spans="1:2" x14ac:dyDescent="0.2">
      <c r="A25" s="19">
        <v>46876</v>
      </c>
      <c r="B25" t="s">
        <v>22</v>
      </c>
    </row>
    <row r="26" spans="1:2" x14ac:dyDescent="0.2">
      <c r="A26" s="19">
        <v>46877</v>
      </c>
      <c r="B26" t="s">
        <v>23</v>
      </c>
    </row>
    <row r="27" spans="1:2" x14ac:dyDescent="0.2">
      <c r="A27" s="19">
        <v>46878</v>
      </c>
      <c r="B27" t="s">
        <v>24</v>
      </c>
    </row>
    <row r="28" spans="1:2" x14ac:dyDescent="0.2">
      <c r="A28" s="19">
        <v>46951</v>
      </c>
      <c r="B28" t="s">
        <v>25</v>
      </c>
    </row>
    <row r="29" spans="1:2" x14ac:dyDescent="0.2">
      <c r="A29" s="19">
        <v>46976</v>
      </c>
      <c r="B29" t="s">
        <v>26</v>
      </c>
    </row>
    <row r="30" spans="1:2" x14ac:dyDescent="0.2">
      <c r="A30" s="19">
        <v>47014</v>
      </c>
      <c r="B30" t="s">
        <v>27</v>
      </c>
    </row>
    <row r="31" spans="1:2" x14ac:dyDescent="0.2">
      <c r="A31" s="19">
        <v>47018</v>
      </c>
      <c r="B31" t="s">
        <v>28</v>
      </c>
    </row>
    <row r="32" spans="1:2" x14ac:dyDescent="0.2">
      <c r="A32" s="19">
        <v>47035</v>
      </c>
      <c r="B32" t="s">
        <v>29</v>
      </c>
    </row>
    <row r="33" spans="1:2" x14ac:dyDescent="0.2">
      <c r="A33" s="19">
        <v>47060</v>
      </c>
      <c r="B33" t="s">
        <v>30</v>
      </c>
    </row>
    <row r="34" spans="1:2" x14ac:dyDescent="0.2">
      <c r="A34" s="19">
        <v>47080</v>
      </c>
      <c r="B34" t="s">
        <v>31</v>
      </c>
    </row>
    <row r="35" spans="1:2" x14ac:dyDescent="0.2">
      <c r="A35" s="19">
        <v>47119</v>
      </c>
      <c r="B35" t="s">
        <v>15</v>
      </c>
    </row>
    <row r="36" spans="1:2" x14ac:dyDescent="0.2">
      <c r="A36" s="19">
        <v>47126</v>
      </c>
      <c r="B36" t="s">
        <v>16</v>
      </c>
    </row>
    <row r="37" spans="1:2" x14ac:dyDescent="0.2">
      <c r="A37" s="19">
        <v>47160</v>
      </c>
      <c r="B37" t="s">
        <v>17</v>
      </c>
    </row>
    <row r="38" spans="1:2" x14ac:dyDescent="0.2">
      <c r="A38" s="19">
        <v>47161</v>
      </c>
      <c r="B38" t="s">
        <v>20</v>
      </c>
    </row>
    <row r="39" spans="1:2" x14ac:dyDescent="0.2">
      <c r="A39" s="19">
        <v>47172</v>
      </c>
      <c r="B39" t="s">
        <v>18</v>
      </c>
    </row>
    <row r="40" spans="1:2" x14ac:dyDescent="0.2">
      <c r="A40" s="19">
        <v>47197</v>
      </c>
      <c r="B40" t="s">
        <v>19</v>
      </c>
    </row>
    <row r="41" spans="1:2" x14ac:dyDescent="0.2">
      <c r="A41" s="19">
        <v>47237</v>
      </c>
      <c r="B41" t="s">
        <v>21</v>
      </c>
    </row>
    <row r="42" spans="1:2" x14ac:dyDescent="0.2">
      <c r="A42" s="19">
        <v>47238</v>
      </c>
      <c r="B42" t="s">
        <v>20</v>
      </c>
    </row>
    <row r="43" spans="1:2" x14ac:dyDescent="0.2">
      <c r="A43" s="19">
        <v>47241</v>
      </c>
      <c r="B43" t="s">
        <v>22</v>
      </c>
    </row>
    <row r="44" spans="1:2" x14ac:dyDescent="0.2">
      <c r="A44" s="19">
        <v>47242</v>
      </c>
      <c r="B44" t="s">
        <v>23</v>
      </c>
    </row>
    <row r="45" spans="1:2" x14ac:dyDescent="0.2">
      <c r="A45" s="19">
        <v>47243</v>
      </c>
      <c r="B45" t="s">
        <v>24</v>
      </c>
    </row>
    <row r="46" spans="1:2" x14ac:dyDescent="0.2">
      <c r="A46" s="19">
        <v>47315</v>
      </c>
      <c r="B46" t="s">
        <v>25</v>
      </c>
    </row>
    <row r="47" spans="1:2" x14ac:dyDescent="0.2">
      <c r="A47" s="19">
        <v>47341</v>
      </c>
      <c r="B47" t="s">
        <v>26</v>
      </c>
    </row>
    <row r="48" spans="1:2" x14ac:dyDescent="0.2">
      <c r="A48" s="19">
        <v>47378</v>
      </c>
      <c r="B48" t="s">
        <v>27</v>
      </c>
    </row>
    <row r="49" spans="1:2" x14ac:dyDescent="0.2">
      <c r="A49" s="19">
        <v>47384</v>
      </c>
      <c r="B49" t="s">
        <v>28</v>
      </c>
    </row>
    <row r="50" spans="1:2" x14ac:dyDescent="0.2">
      <c r="A50" s="19">
        <v>47385</v>
      </c>
      <c r="B50" t="s">
        <v>20</v>
      </c>
    </row>
    <row r="51" spans="1:2" x14ac:dyDescent="0.2">
      <c r="A51" s="19">
        <v>47399</v>
      </c>
      <c r="B51" t="s">
        <v>29</v>
      </c>
    </row>
    <row r="52" spans="1:2" x14ac:dyDescent="0.2">
      <c r="A52" s="19">
        <v>47425</v>
      </c>
      <c r="B52" t="s">
        <v>30</v>
      </c>
    </row>
    <row r="53" spans="1:2" x14ac:dyDescent="0.2">
      <c r="A53" s="19">
        <v>47445</v>
      </c>
      <c r="B53" t="s">
        <v>31</v>
      </c>
    </row>
    <row r="54" spans="1:2" x14ac:dyDescent="0.2">
      <c r="A54" s="19">
        <v>47484</v>
      </c>
      <c r="B54" t="s">
        <v>15</v>
      </c>
    </row>
    <row r="55" spans="1:2" x14ac:dyDescent="0.2">
      <c r="A55" s="19">
        <v>47497</v>
      </c>
      <c r="B55" t="s">
        <v>16</v>
      </c>
    </row>
    <row r="56" spans="1:2" x14ac:dyDescent="0.2">
      <c r="A56" s="19">
        <v>47525</v>
      </c>
      <c r="B56" t="s">
        <v>17</v>
      </c>
    </row>
    <row r="57" spans="1:2" x14ac:dyDescent="0.2">
      <c r="A57" s="19">
        <v>47537</v>
      </c>
      <c r="B57" t="s">
        <v>18</v>
      </c>
    </row>
    <row r="58" spans="1:2" x14ac:dyDescent="0.2">
      <c r="A58" s="19">
        <v>47562</v>
      </c>
      <c r="B58" t="s">
        <v>19</v>
      </c>
    </row>
    <row r="59" spans="1:2" x14ac:dyDescent="0.2">
      <c r="A59" s="19">
        <v>47602</v>
      </c>
      <c r="B59" t="s">
        <v>21</v>
      </c>
    </row>
    <row r="60" spans="1:2" x14ac:dyDescent="0.2">
      <c r="A60" s="19">
        <v>47606</v>
      </c>
      <c r="B60" t="s">
        <v>22</v>
      </c>
    </row>
    <row r="61" spans="1:2" x14ac:dyDescent="0.2">
      <c r="A61" s="19">
        <v>47607</v>
      </c>
      <c r="B61" t="s">
        <v>23</v>
      </c>
    </row>
    <row r="62" spans="1:2" x14ac:dyDescent="0.2">
      <c r="A62" s="19">
        <v>47608</v>
      </c>
      <c r="B62" t="s">
        <v>24</v>
      </c>
    </row>
    <row r="63" spans="1:2" x14ac:dyDescent="0.2">
      <c r="A63" s="19">
        <v>47609</v>
      </c>
      <c r="B63" t="s">
        <v>20</v>
      </c>
    </row>
    <row r="64" spans="1:2" x14ac:dyDescent="0.2">
      <c r="A64" s="19">
        <v>47679</v>
      </c>
      <c r="B64" t="s">
        <v>25</v>
      </c>
    </row>
    <row r="65" spans="1:2" x14ac:dyDescent="0.2">
      <c r="A65" s="19">
        <v>47706</v>
      </c>
      <c r="B65" t="s">
        <v>26</v>
      </c>
    </row>
    <row r="66" spans="1:2" x14ac:dyDescent="0.2">
      <c r="A66" s="19">
        <v>47707</v>
      </c>
      <c r="B66" t="s">
        <v>20</v>
      </c>
    </row>
    <row r="67" spans="1:2" x14ac:dyDescent="0.2">
      <c r="A67" s="19">
        <v>47742</v>
      </c>
      <c r="B67" t="s">
        <v>27</v>
      </c>
    </row>
    <row r="68" spans="1:2" x14ac:dyDescent="0.2">
      <c r="A68" s="19">
        <v>47749</v>
      </c>
      <c r="B68" t="s">
        <v>28</v>
      </c>
    </row>
    <row r="69" spans="1:2" x14ac:dyDescent="0.2">
      <c r="A69" s="19">
        <v>47770</v>
      </c>
      <c r="B69" t="s">
        <v>29</v>
      </c>
    </row>
    <row r="70" spans="1:2" x14ac:dyDescent="0.2">
      <c r="A70" s="19">
        <v>47790</v>
      </c>
      <c r="B70" t="s">
        <v>30</v>
      </c>
    </row>
    <row r="71" spans="1:2" x14ac:dyDescent="0.2">
      <c r="A71" s="19">
        <v>47791</v>
      </c>
      <c r="B71" t="s">
        <v>20</v>
      </c>
    </row>
    <row r="72" spans="1:2" x14ac:dyDescent="0.2">
      <c r="A72" s="19">
        <v>47810</v>
      </c>
      <c r="B72" t="s">
        <v>31</v>
      </c>
    </row>
    <row r="73" spans="1:2" x14ac:dyDescent="0.2">
      <c r="A73" s="19">
        <v>47849</v>
      </c>
      <c r="B73" t="s">
        <v>15</v>
      </c>
    </row>
    <row r="74" spans="1:2" x14ac:dyDescent="0.2">
      <c r="A74" s="19">
        <v>47861</v>
      </c>
      <c r="B74" t="s">
        <v>16</v>
      </c>
    </row>
    <row r="75" spans="1:2" x14ac:dyDescent="0.2">
      <c r="A75" s="19">
        <v>47890</v>
      </c>
      <c r="B75" t="s">
        <v>17</v>
      </c>
    </row>
    <row r="76" spans="1:2" x14ac:dyDescent="0.2">
      <c r="A76" s="19">
        <v>47902</v>
      </c>
      <c r="B76" t="s">
        <v>18</v>
      </c>
    </row>
    <row r="77" spans="1:2" x14ac:dyDescent="0.2">
      <c r="A77" s="19">
        <v>47903</v>
      </c>
      <c r="B77" t="s">
        <v>20</v>
      </c>
    </row>
    <row r="78" spans="1:2" x14ac:dyDescent="0.2">
      <c r="A78" s="19">
        <v>47928</v>
      </c>
      <c r="B78" t="s">
        <v>19</v>
      </c>
    </row>
    <row r="79" spans="1:2" x14ac:dyDescent="0.2">
      <c r="A79" s="19">
        <v>47967</v>
      </c>
      <c r="B79" t="s">
        <v>21</v>
      </c>
    </row>
    <row r="80" spans="1:2" x14ac:dyDescent="0.2">
      <c r="A80" s="19">
        <v>47971</v>
      </c>
      <c r="B80" t="s">
        <v>22</v>
      </c>
    </row>
    <row r="81" spans="1:2" x14ac:dyDescent="0.2">
      <c r="A81" s="19">
        <v>47972</v>
      </c>
      <c r="B81" t="s">
        <v>23</v>
      </c>
    </row>
    <row r="82" spans="1:2" x14ac:dyDescent="0.2">
      <c r="A82" s="19">
        <v>47973</v>
      </c>
      <c r="B82" t="s">
        <v>24</v>
      </c>
    </row>
    <row r="83" spans="1:2" x14ac:dyDescent="0.2">
      <c r="A83" s="19">
        <v>47974</v>
      </c>
      <c r="B83" t="s">
        <v>20</v>
      </c>
    </row>
    <row r="84" spans="1:2" x14ac:dyDescent="0.2">
      <c r="A84" s="19">
        <v>48050</v>
      </c>
      <c r="B84" t="s">
        <v>25</v>
      </c>
    </row>
    <row r="85" spans="1:2" x14ac:dyDescent="0.2">
      <c r="A85" s="19">
        <v>48071</v>
      </c>
      <c r="B85" t="s">
        <v>26</v>
      </c>
    </row>
    <row r="86" spans="1:2" x14ac:dyDescent="0.2">
      <c r="A86" s="19">
        <v>48106</v>
      </c>
      <c r="B86" t="s">
        <v>27</v>
      </c>
    </row>
    <row r="87" spans="1:2" x14ac:dyDescent="0.2">
      <c r="A87" s="19">
        <v>48114</v>
      </c>
      <c r="B87" t="s">
        <v>28</v>
      </c>
    </row>
    <row r="88" spans="1:2" x14ac:dyDescent="0.2">
      <c r="A88" s="19">
        <v>48134</v>
      </c>
      <c r="B88" t="s">
        <v>29</v>
      </c>
    </row>
    <row r="89" spans="1:2" x14ac:dyDescent="0.2">
      <c r="A89" s="19">
        <v>48155</v>
      </c>
      <c r="B89" t="s">
        <v>30</v>
      </c>
    </row>
    <row r="90" spans="1:2" x14ac:dyDescent="0.2">
      <c r="A90" s="19">
        <v>48175</v>
      </c>
      <c r="B90" t="s">
        <v>31</v>
      </c>
    </row>
    <row r="91" spans="1:2" x14ac:dyDescent="0.2">
      <c r="A91" s="19">
        <v>48176</v>
      </c>
      <c r="B91" t="s">
        <v>20</v>
      </c>
    </row>
    <row r="92" spans="1:2" x14ac:dyDescent="0.2">
      <c r="A92" s="19">
        <v>48214</v>
      </c>
      <c r="B92" t="s">
        <v>15</v>
      </c>
    </row>
    <row r="93" spans="1:2" x14ac:dyDescent="0.2">
      <c r="A93" s="19">
        <v>48225</v>
      </c>
      <c r="B93" t="s">
        <v>16</v>
      </c>
    </row>
    <row r="94" spans="1:2" x14ac:dyDescent="0.2">
      <c r="A94" s="19">
        <v>48255</v>
      </c>
      <c r="B94" t="s">
        <v>17</v>
      </c>
    </row>
    <row r="95" spans="1:2" x14ac:dyDescent="0.2">
      <c r="A95" s="19">
        <v>48267</v>
      </c>
      <c r="B95" t="s">
        <v>18</v>
      </c>
    </row>
    <row r="96" spans="1:2" x14ac:dyDescent="0.2">
      <c r="A96" s="19">
        <v>48293</v>
      </c>
      <c r="B96" t="s">
        <v>19</v>
      </c>
    </row>
    <row r="97" spans="1:2" x14ac:dyDescent="0.2">
      <c r="A97" s="19">
        <v>48333</v>
      </c>
      <c r="B97" t="s">
        <v>21</v>
      </c>
    </row>
    <row r="98" spans="1:2" x14ac:dyDescent="0.2">
      <c r="A98" s="19">
        <v>48337</v>
      </c>
      <c r="B98" t="s">
        <v>22</v>
      </c>
    </row>
    <row r="99" spans="1:2" x14ac:dyDescent="0.2">
      <c r="A99" s="19">
        <v>48338</v>
      </c>
      <c r="B99" t="s">
        <v>23</v>
      </c>
    </row>
    <row r="100" spans="1:2" x14ac:dyDescent="0.2">
      <c r="A100" s="19">
        <v>48339</v>
      </c>
      <c r="B100" t="s">
        <v>24</v>
      </c>
    </row>
    <row r="101" spans="1:2" x14ac:dyDescent="0.2">
      <c r="A101" s="19">
        <v>48414</v>
      </c>
      <c r="B101" t="s">
        <v>25</v>
      </c>
    </row>
    <row r="102" spans="1:2" x14ac:dyDescent="0.2">
      <c r="A102" s="19">
        <v>48437</v>
      </c>
      <c r="B102" t="s">
        <v>26</v>
      </c>
    </row>
    <row r="103" spans="1:2" x14ac:dyDescent="0.2">
      <c r="A103" s="19">
        <v>48477</v>
      </c>
      <c r="B103" t="s">
        <v>27</v>
      </c>
    </row>
    <row r="104" spans="1:2" x14ac:dyDescent="0.2">
      <c r="A104" s="19">
        <v>48478</v>
      </c>
      <c r="B104" t="s">
        <v>32</v>
      </c>
    </row>
    <row r="105" spans="1:2" x14ac:dyDescent="0.2">
      <c r="A105" s="19">
        <v>48479</v>
      </c>
      <c r="B105" t="s">
        <v>28</v>
      </c>
    </row>
    <row r="106" spans="1:2" x14ac:dyDescent="0.2">
      <c r="A106" s="19">
        <v>48498</v>
      </c>
      <c r="B106" t="s">
        <v>29</v>
      </c>
    </row>
    <row r="107" spans="1:2" x14ac:dyDescent="0.2">
      <c r="A107" s="19">
        <v>48521</v>
      </c>
      <c r="B107" t="s">
        <v>30</v>
      </c>
    </row>
    <row r="108" spans="1:2" x14ac:dyDescent="0.2">
      <c r="A108" s="19">
        <v>48541</v>
      </c>
      <c r="B108" t="s">
        <v>31</v>
      </c>
    </row>
    <row r="109" spans="1:2" x14ac:dyDescent="0.2">
      <c r="A109" s="19">
        <v>48580</v>
      </c>
      <c r="B109" t="s">
        <v>15</v>
      </c>
    </row>
    <row r="110" spans="1:2" x14ac:dyDescent="0.2">
      <c r="A110" s="19">
        <v>48589</v>
      </c>
      <c r="B110" t="s">
        <v>16</v>
      </c>
    </row>
    <row r="111" spans="1:2" x14ac:dyDescent="0.2">
      <c r="A111" s="19">
        <v>48621</v>
      </c>
      <c r="B111" t="s">
        <v>17</v>
      </c>
    </row>
    <row r="112" spans="1:2" x14ac:dyDescent="0.2">
      <c r="A112" s="19">
        <v>48633</v>
      </c>
      <c r="B112" t="s">
        <v>18</v>
      </c>
    </row>
    <row r="113" spans="1:2" x14ac:dyDescent="0.2">
      <c r="A113" s="19">
        <v>48658</v>
      </c>
      <c r="B113" t="s">
        <v>19</v>
      </c>
    </row>
    <row r="114" spans="1:2" x14ac:dyDescent="0.2">
      <c r="A114" s="19">
        <v>48659</v>
      </c>
      <c r="B114" t="s">
        <v>20</v>
      </c>
    </row>
    <row r="115" spans="1:2" x14ac:dyDescent="0.2">
      <c r="A115" s="19">
        <v>48698</v>
      </c>
      <c r="B115" t="s">
        <v>21</v>
      </c>
    </row>
    <row r="116" spans="1:2" x14ac:dyDescent="0.2">
      <c r="A116" s="19">
        <v>48702</v>
      </c>
      <c r="B116" t="s">
        <v>22</v>
      </c>
    </row>
    <row r="117" spans="1:2" x14ac:dyDescent="0.2">
      <c r="A117" s="19">
        <v>48703</v>
      </c>
      <c r="B117" t="s">
        <v>23</v>
      </c>
    </row>
    <row r="118" spans="1:2" x14ac:dyDescent="0.2">
      <c r="A118" s="19">
        <v>48704</v>
      </c>
      <c r="B118" t="s">
        <v>24</v>
      </c>
    </row>
    <row r="119" spans="1:2" x14ac:dyDescent="0.2">
      <c r="A119" s="19">
        <v>48778</v>
      </c>
      <c r="B119" t="s">
        <v>25</v>
      </c>
    </row>
    <row r="120" spans="1:2" x14ac:dyDescent="0.2">
      <c r="A120" s="19">
        <v>48802</v>
      </c>
      <c r="B120" t="s">
        <v>26</v>
      </c>
    </row>
    <row r="121" spans="1:2" x14ac:dyDescent="0.2">
      <c r="A121" s="19">
        <v>48841</v>
      </c>
      <c r="B121" t="s">
        <v>27</v>
      </c>
    </row>
    <row r="122" spans="1:2" x14ac:dyDescent="0.2">
      <c r="A122" s="19">
        <v>48845</v>
      </c>
      <c r="B122" t="s">
        <v>28</v>
      </c>
    </row>
    <row r="123" spans="1:2" x14ac:dyDescent="0.2">
      <c r="A123" s="19">
        <v>48862</v>
      </c>
      <c r="B123" t="s">
        <v>29</v>
      </c>
    </row>
    <row r="124" spans="1:2" x14ac:dyDescent="0.2">
      <c r="A124" s="19">
        <v>48886</v>
      </c>
      <c r="B124" t="s">
        <v>30</v>
      </c>
    </row>
    <row r="125" spans="1:2" x14ac:dyDescent="0.2">
      <c r="A125" s="19">
        <v>48906</v>
      </c>
      <c r="B125" t="s">
        <v>31</v>
      </c>
    </row>
    <row r="126" spans="1:2" x14ac:dyDescent="0.2">
      <c r="A126" s="19">
        <v>48945</v>
      </c>
      <c r="B126" t="s">
        <v>15</v>
      </c>
    </row>
    <row r="127" spans="1:2" x14ac:dyDescent="0.2">
      <c r="A127" s="19">
        <v>48946</v>
      </c>
      <c r="B127" t="s">
        <v>20</v>
      </c>
    </row>
    <row r="128" spans="1:2" x14ac:dyDescent="0.2">
      <c r="A128" s="19">
        <v>48953</v>
      </c>
      <c r="B128" t="s">
        <v>16</v>
      </c>
    </row>
    <row r="129" spans="1:2" x14ac:dyDescent="0.2">
      <c r="A129" s="19">
        <v>48986</v>
      </c>
      <c r="B129" t="s">
        <v>17</v>
      </c>
    </row>
    <row r="130" spans="1:2" x14ac:dyDescent="0.2">
      <c r="A130" s="19">
        <v>48998</v>
      </c>
      <c r="B130" t="s">
        <v>18</v>
      </c>
    </row>
    <row r="131" spans="1:2" x14ac:dyDescent="0.2">
      <c r="A131" s="19">
        <v>49023</v>
      </c>
      <c r="B131" t="s">
        <v>19</v>
      </c>
    </row>
    <row r="132" spans="1:2" x14ac:dyDescent="0.2">
      <c r="A132" s="19">
        <v>49063</v>
      </c>
      <c r="B132" t="s">
        <v>21</v>
      </c>
    </row>
    <row r="133" spans="1:2" x14ac:dyDescent="0.2">
      <c r="A133" s="19">
        <v>49067</v>
      </c>
      <c r="B133" t="s">
        <v>22</v>
      </c>
    </row>
    <row r="134" spans="1:2" x14ac:dyDescent="0.2">
      <c r="A134" s="19">
        <v>49068</v>
      </c>
      <c r="B134" t="s">
        <v>23</v>
      </c>
    </row>
    <row r="135" spans="1:2" x14ac:dyDescent="0.2">
      <c r="A135" s="19">
        <v>49069</v>
      </c>
      <c r="B135" t="s">
        <v>24</v>
      </c>
    </row>
    <row r="136" spans="1:2" x14ac:dyDescent="0.2">
      <c r="A136" s="19">
        <v>49142</v>
      </c>
      <c r="B136" t="s">
        <v>25</v>
      </c>
    </row>
    <row r="137" spans="1:2" x14ac:dyDescent="0.2">
      <c r="A137" s="19">
        <v>49167</v>
      </c>
      <c r="B137" t="s">
        <v>26</v>
      </c>
    </row>
    <row r="138" spans="1:2" x14ac:dyDescent="0.2">
      <c r="A138" s="19">
        <v>49205</v>
      </c>
      <c r="B138" t="s">
        <v>27</v>
      </c>
    </row>
    <row r="139" spans="1:2" x14ac:dyDescent="0.2">
      <c r="A139" s="19">
        <v>49210</v>
      </c>
      <c r="B139" t="s">
        <v>28</v>
      </c>
    </row>
    <row r="140" spans="1:2" x14ac:dyDescent="0.2">
      <c r="A140" s="19">
        <v>49226</v>
      </c>
      <c r="B140" t="s">
        <v>29</v>
      </c>
    </row>
    <row r="141" spans="1:2" x14ac:dyDescent="0.2">
      <c r="A141" s="19">
        <v>49251</v>
      </c>
      <c r="B141" t="s">
        <v>30</v>
      </c>
    </row>
    <row r="142" spans="1:2" x14ac:dyDescent="0.2">
      <c r="A142" s="19">
        <v>49271</v>
      </c>
      <c r="B142" t="s">
        <v>31</v>
      </c>
    </row>
    <row r="143" spans="1:2" x14ac:dyDescent="0.2">
      <c r="A143" s="19">
        <v>49310</v>
      </c>
      <c r="B143" t="s">
        <v>15</v>
      </c>
    </row>
    <row r="144" spans="1:2" x14ac:dyDescent="0.2">
      <c r="A144" s="19">
        <v>49317</v>
      </c>
      <c r="B144" t="s">
        <v>16</v>
      </c>
    </row>
    <row r="145" spans="1:2" x14ac:dyDescent="0.2">
      <c r="A145" s="19">
        <v>49351</v>
      </c>
      <c r="B145" t="s">
        <v>17</v>
      </c>
    </row>
    <row r="146" spans="1:2" x14ac:dyDescent="0.2">
      <c r="A146" s="19">
        <v>49352</v>
      </c>
      <c r="B146" t="s">
        <v>20</v>
      </c>
    </row>
    <row r="147" spans="1:2" x14ac:dyDescent="0.2">
      <c r="A147" s="19">
        <v>49363</v>
      </c>
      <c r="B147" t="s">
        <v>18</v>
      </c>
    </row>
    <row r="148" spans="1:2" x14ac:dyDescent="0.2">
      <c r="A148" s="19">
        <v>49389</v>
      </c>
      <c r="B148" t="s">
        <v>19</v>
      </c>
    </row>
    <row r="149" spans="1:2" x14ac:dyDescent="0.2">
      <c r="A149" s="19">
        <v>49428</v>
      </c>
      <c r="B149" t="s">
        <v>21</v>
      </c>
    </row>
    <row r="150" spans="1:2" x14ac:dyDescent="0.2">
      <c r="A150" s="19">
        <v>49429</v>
      </c>
      <c r="B150" t="s">
        <v>20</v>
      </c>
    </row>
    <row r="151" spans="1:2" x14ac:dyDescent="0.2">
      <c r="A151" s="19">
        <v>49432</v>
      </c>
      <c r="B151" t="s">
        <v>22</v>
      </c>
    </row>
    <row r="152" spans="1:2" x14ac:dyDescent="0.2">
      <c r="A152" s="19">
        <v>49433</v>
      </c>
      <c r="B152" t="s">
        <v>23</v>
      </c>
    </row>
    <row r="153" spans="1:2" x14ac:dyDescent="0.2">
      <c r="A153" s="19">
        <v>49434</v>
      </c>
      <c r="B153" t="s">
        <v>24</v>
      </c>
    </row>
    <row r="154" spans="1:2" x14ac:dyDescent="0.2">
      <c r="A154" s="19">
        <v>49506</v>
      </c>
      <c r="B154" t="s">
        <v>25</v>
      </c>
    </row>
    <row r="155" spans="1:2" x14ac:dyDescent="0.2">
      <c r="A155" s="19">
        <v>49532</v>
      </c>
      <c r="B155" t="s">
        <v>26</v>
      </c>
    </row>
    <row r="156" spans="1:2" x14ac:dyDescent="0.2">
      <c r="A156" s="19">
        <v>49569</v>
      </c>
      <c r="B156" t="s">
        <v>27</v>
      </c>
    </row>
    <row r="157" spans="1:2" x14ac:dyDescent="0.2">
      <c r="A157" s="19">
        <v>49575</v>
      </c>
      <c r="B157" t="s">
        <v>28</v>
      </c>
    </row>
    <row r="158" spans="1:2" x14ac:dyDescent="0.2">
      <c r="A158" s="19">
        <v>49576</v>
      </c>
      <c r="B158" t="s">
        <v>20</v>
      </c>
    </row>
    <row r="159" spans="1:2" x14ac:dyDescent="0.2">
      <c r="A159" s="19">
        <v>49590</v>
      </c>
      <c r="B159" t="s">
        <v>29</v>
      </c>
    </row>
    <row r="160" spans="1:2" x14ac:dyDescent="0.2">
      <c r="A160" s="19">
        <v>49616</v>
      </c>
      <c r="B160" t="s">
        <v>30</v>
      </c>
    </row>
    <row r="161" spans="1:2" x14ac:dyDescent="0.2">
      <c r="A161" s="19">
        <v>49636</v>
      </c>
      <c r="B161" t="s">
        <v>31</v>
      </c>
    </row>
    <row r="162" spans="1:2" x14ac:dyDescent="0.2">
      <c r="A162" s="19">
        <v>49675</v>
      </c>
      <c r="B162" t="s">
        <v>15</v>
      </c>
    </row>
    <row r="163" spans="1:2" x14ac:dyDescent="0.2">
      <c r="A163" s="19">
        <v>49688</v>
      </c>
      <c r="B163" t="s">
        <v>16</v>
      </c>
    </row>
    <row r="164" spans="1:2" x14ac:dyDescent="0.2">
      <c r="A164" s="19">
        <v>49716</v>
      </c>
      <c r="B164" t="s">
        <v>17</v>
      </c>
    </row>
    <row r="165" spans="1:2" x14ac:dyDescent="0.2">
      <c r="A165" s="19">
        <v>49728</v>
      </c>
      <c r="B165" t="s">
        <v>18</v>
      </c>
    </row>
    <row r="166" spans="1:2" x14ac:dyDescent="0.2">
      <c r="A166" s="19">
        <v>49754</v>
      </c>
      <c r="B166" t="s">
        <v>19</v>
      </c>
    </row>
    <row r="167" spans="1:2" x14ac:dyDescent="0.2">
      <c r="A167" s="19">
        <v>49794</v>
      </c>
      <c r="B167" t="s">
        <v>21</v>
      </c>
    </row>
    <row r="168" spans="1:2" x14ac:dyDescent="0.2">
      <c r="A168" s="19">
        <v>49798</v>
      </c>
      <c r="B168" t="s">
        <v>22</v>
      </c>
    </row>
    <row r="169" spans="1:2" x14ac:dyDescent="0.2">
      <c r="A169" s="19">
        <v>49799</v>
      </c>
      <c r="B169" t="s">
        <v>23</v>
      </c>
    </row>
    <row r="170" spans="1:2" x14ac:dyDescent="0.2">
      <c r="A170" s="19">
        <v>49800</v>
      </c>
      <c r="B170" t="s">
        <v>24</v>
      </c>
    </row>
    <row r="171" spans="1:2" x14ac:dyDescent="0.2">
      <c r="A171" s="19">
        <v>49801</v>
      </c>
      <c r="B171" t="s">
        <v>20</v>
      </c>
    </row>
    <row r="172" spans="1:2" x14ac:dyDescent="0.2">
      <c r="A172" s="19">
        <v>49877</v>
      </c>
      <c r="B172" t="s">
        <v>25</v>
      </c>
    </row>
    <row r="173" spans="1:2" x14ac:dyDescent="0.2">
      <c r="A173" s="19">
        <v>49898</v>
      </c>
      <c r="B173" t="s">
        <v>26</v>
      </c>
    </row>
    <row r="174" spans="1:2" x14ac:dyDescent="0.2">
      <c r="A174" s="19">
        <v>49933</v>
      </c>
      <c r="B174" t="s">
        <v>27</v>
      </c>
    </row>
    <row r="175" spans="1:2" x14ac:dyDescent="0.2">
      <c r="A175" s="19">
        <v>49940</v>
      </c>
      <c r="B175" t="s">
        <v>28</v>
      </c>
    </row>
    <row r="176" spans="1:2" x14ac:dyDescent="0.2">
      <c r="A176" s="19">
        <v>49961</v>
      </c>
      <c r="B176" t="s">
        <v>29</v>
      </c>
    </row>
    <row r="177" spans="1:2" x14ac:dyDescent="0.2">
      <c r="A177" s="19">
        <v>49982</v>
      </c>
      <c r="B177" t="s">
        <v>30</v>
      </c>
    </row>
    <row r="178" spans="1:2" x14ac:dyDescent="0.2">
      <c r="A178" s="19">
        <v>50002</v>
      </c>
      <c r="B178" t="s">
        <v>31</v>
      </c>
    </row>
    <row r="179" spans="1:2" x14ac:dyDescent="0.2">
      <c r="A179" s="19">
        <v>50003</v>
      </c>
      <c r="B179" t="s">
        <v>20</v>
      </c>
    </row>
    <row r="180" spans="1:2" x14ac:dyDescent="0.2">
      <c r="A180" s="19">
        <v>50041</v>
      </c>
      <c r="B180" t="s">
        <v>15</v>
      </c>
    </row>
    <row r="181" spans="1:2" x14ac:dyDescent="0.2">
      <c r="A181" s="19">
        <v>50052</v>
      </c>
      <c r="B181" t="s">
        <v>16</v>
      </c>
    </row>
    <row r="182" spans="1:2" x14ac:dyDescent="0.2">
      <c r="A182" s="19">
        <v>50082</v>
      </c>
      <c r="B182" t="s">
        <v>17</v>
      </c>
    </row>
    <row r="183" spans="1:2" x14ac:dyDescent="0.2">
      <c r="A183" s="19">
        <v>50094</v>
      </c>
      <c r="B183" t="s">
        <v>18</v>
      </c>
    </row>
    <row r="184" spans="1:2" x14ac:dyDescent="0.2">
      <c r="A184" s="19">
        <v>50119</v>
      </c>
      <c r="B184" t="s">
        <v>19</v>
      </c>
    </row>
    <row r="185" spans="1:2" x14ac:dyDescent="0.2">
      <c r="A185" s="19">
        <v>50159</v>
      </c>
      <c r="B185" t="s">
        <v>21</v>
      </c>
    </row>
    <row r="186" spans="1:2" x14ac:dyDescent="0.2">
      <c r="A186" s="19">
        <v>50163</v>
      </c>
      <c r="B186" t="s">
        <v>22</v>
      </c>
    </row>
    <row r="187" spans="1:2" x14ac:dyDescent="0.2">
      <c r="A187" s="19">
        <v>50164</v>
      </c>
      <c r="B187" t="s">
        <v>23</v>
      </c>
    </row>
    <row r="188" spans="1:2" x14ac:dyDescent="0.2">
      <c r="A188" s="19">
        <v>50165</v>
      </c>
      <c r="B188" t="s">
        <v>24</v>
      </c>
    </row>
    <row r="189" spans="1:2" x14ac:dyDescent="0.2">
      <c r="A189" s="19">
        <v>50166</v>
      </c>
      <c r="B189" t="s">
        <v>20</v>
      </c>
    </row>
    <row r="190" spans="1:2" x14ac:dyDescent="0.2">
      <c r="A190" s="19">
        <v>50241</v>
      </c>
      <c r="B190" t="s">
        <v>25</v>
      </c>
    </row>
    <row r="191" spans="1:2" x14ac:dyDescent="0.2">
      <c r="A191" s="19">
        <v>50263</v>
      </c>
      <c r="B191" t="s">
        <v>26</v>
      </c>
    </row>
    <row r="192" spans="1:2" x14ac:dyDescent="0.2">
      <c r="A192" s="19">
        <v>50304</v>
      </c>
      <c r="B192" t="s">
        <v>27</v>
      </c>
    </row>
    <row r="193" spans="1:2" x14ac:dyDescent="0.2">
      <c r="A193" s="19">
        <v>50305</v>
      </c>
      <c r="B193" t="s">
        <v>32</v>
      </c>
    </row>
    <row r="194" spans="1:2" x14ac:dyDescent="0.2">
      <c r="A194" s="19">
        <v>50306</v>
      </c>
      <c r="B194" t="s">
        <v>28</v>
      </c>
    </row>
    <row r="195" spans="1:2" x14ac:dyDescent="0.2">
      <c r="A195" s="19">
        <v>50325</v>
      </c>
      <c r="B195" t="s">
        <v>29</v>
      </c>
    </row>
    <row r="196" spans="1:2" x14ac:dyDescent="0.2">
      <c r="A196" s="19">
        <v>50347</v>
      </c>
      <c r="B196" t="s">
        <v>30</v>
      </c>
    </row>
    <row r="197" spans="1:2" x14ac:dyDescent="0.2">
      <c r="A197" s="19">
        <v>50367</v>
      </c>
      <c r="B197" t="s">
        <v>31</v>
      </c>
    </row>
    <row r="198" spans="1:2" x14ac:dyDescent="0.2">
      <c r="A198" s="19">
        <v>50406</v>
      </c>
      <c r="B198" t="s">
        <v>15</v>
      </c>
    </row>
    <row r="199" spans="1:2" x14ac:dyDescent="0.2">
      <c r="A199" s="19">
        <v>50416</v>
      </c>
      <c r="B199" t="s">
        <v>16</v>
      </c>
    </row>
    <row r="200" spans="1:2" x14ac:dyDescent="0.2">
      <c r="A200" s="19">
        <v>50447</v>
      </c>
      <c r="B200" t="s">
        <v>17</v>
      </c>
    </row>
    <row r="201" spans="1:2" x14ac:dyDescent="0.2">
      <c r="A201" s="19">
        <v>50459</v>
      </c>
      <c r="B201" t="s">
        <v>18</v>
      </c>
    </row>
    <row r="202" spans="1:2" x14ac:dyDescent="0.2">
      <c r="A202" s="19">
        <v>50484</v>
      </c>
      <c r="B202" t="s">
        <v>19</v>
      </c>
    </row>
    <row r="203" spans="1:2" x14ac:dyDescent="0.2">
      <c r="A203" s="19">
        <v>50524</v>
      </c>
      <c r="B203" t="s">
        <v>21</v>
      </c>
    </row>
    <row r="204" spans="1:2" x14ac:dyDescent="0.2">
      <c r="A204" s="19">
        <v>50528</v>
      </c>
      <c r="B204" t="s">
        <v>22</v>
      </c>
    </row>
    <row r="205" spans="1:2" x14ac:dyDescent="0.2">
      <c r="A205" s="19">
        <v>50529</v>
      </c>
      <c r="B205" t="s">
        <v>23</v>
      </c>
    </row>
    <row r="206" spans="1:2" x14ac:dyDescent="0.2">
      <c r="A206" s="19">
        <v>50530</v>
      </c>
      <c r="B206" t="s">
        <v>24</v>
      </c>
    </row>
    <row r="207" spans="1:2" x14ac:dyDescent="0.2">
      <c r="A207" s="19">
        <v>50605</v>
      </c>
      <c r="B207" t="s">
        <v>25</v>
      </c>
    </row>
    <row r="208" spans="1:2" x14ac:dyDescent="0.2">
      <c r="A208" s="19">
        <v>50628</v>
      </c>
      <c r="B208" t="s">
        <v>26</v>
      </c>
    </row>
    <row r="209" spans="1:2" x14ac:dyDescent="0.2">
      <c r="A209" s="19">
        <v>50668</v>
      </c>
      <c r="B209" t="s">
        <v>27</v>
      </c>
    </row>
    <row r="210" spans="1:2" x14ac:dyDescent="0.2">
      <c r="A210" s="19">
        <v>50671</v>
      </c>
      <c r="B210" t="s">
        <v>28</v>
      </c>
    </row>
    <row r="211" spans="1:2" x14ac:dyDescent="0.2">
      <c r="A211" s="19">
        <v>50689</v>
      </c>
      <c r="B211" t="s">
        <v>29</v>
      </c>
    </row>
    <row r="212" spans="1:2" x14ac:dyDescent="0.2">
      <c r="A212" s="19">
        <v>50712</v>
      </c>
      <c r="B212" t="s">
        <v>30</v>
      </c>
    </row>
    <row r="213" spans="1:2" x14ac:dyDescent="0.2">
      <c r="A213" s="19">
        <v>50732</v>
      </c>
      <c r="B213" t="s">
        <v>31</v>
      </c>
    </row>
    <row r="214" spans="1:2" x14ac:dyDescent="0.2">
      <c r="A214" s="19">
        <v>50771</v>
      </c>
      <c r="B214" t="s">
        <v>15</v>
      </c>
    </row>
    <row r="215" spans="1:2" x14ac:dyDescent="0.2">
      <c r="A215" s="19">
        <v>50780</v>
      </c>
      <c r="B215" t="s">
        <v>16</v>
      </c>
    </row>
    <row r="216" spans="1:2" x14ac:dyDescent="0.2">
      <c r="A216" s="19">
        <v>50812</v>
      </c>
      <c r="B216" t="s">
        <v>17</v>
      </c>
    </row>
    <row r="217" spans="1:2" x14ac:dyDescent="0.2">
      <c r="A217" s="19">
        <v>50824</v>
      </c>
      <c r="B217" t="s">
        <v>18</v>
      </c>
    </row>
    <row r="218" spans="1:2" x14ac:dyDescent="0.2">
      <c r="A218" s="19">
        <v>50850</v>
      </c>
      <c r="B218" t="s">
        <v>19</v>
      </c>
    </row>
    <row r="219" spans="1:2" x14ac:dyDescent="0.2">
      <c r="A219" s="19">
        <v>50889</v>
      </c>
      <c r="B219" t="s">
        <v>21</v>
      </c>
    </row>
    <row r="220" spans="1:2" x14ac:dyDescent="0.2">
      <c r="A220" s="19">
        <v>50893</v>
      </c>
      <c r="B220" t="s">
        <v>22</v>
      </c>
    </row>
    <row r="221" spans="1:2" x14ac:dyDescent="0.2">
      <c r="A221" s="19">
        <v>50894</v>
      </c>
      <c r="B221" t="s">
        <v>23</v>
      </c>
    </row>
    <row r="222" spans="1:2" x14ac:dyDescent="0.2">
      <c r="A222" s="19">
        <v>50895</v>
      </c>
      <c r="B222" t="s">
        <v>24</v>
      </c>
    </row>
    <row r="223" spans="1:2" x14ac:dyDescent="0.2">
      <c r="A223" s="19">
        <v>50969</v>
      </c>
      <c r="B223" t="s">
        <v>25</v>
      </c>
    </row>
    <row r="224" spans="1:2" x14ac:dyDescent="0.2">
      <c r="A224" s="19">
        <v>50993</v>
      </c>
      <c r="B224" t="s">
        <v>26</v>
      </c>
    </row>
    <row r="225" spans="1:2" x14ac:dyDescent="0.2">
      <c r="A225" s="19">
        <v>51032</v>
      </c>
      <c r="B225" t="s">
        <v>27</v>
      </c>
    </row>
    <row r="226" spans="1:2" x14ac:dyDescent="0.2">
      <c r="A226" s="19">
        <v>51036</v>
      </c>
      <c r="B226" t="s">
        <v>28</v>
      </c>
    </row>
    <row r="227" spans="1:2" x14ac:dyDescent="0.2">
      <c r="A227" s="19">
        <v>51053</v>
      </c>
      <c r="B227" t="s">
        <v>29</v>
      </c>
    </row>
    <row r="228" spans="1:2" x14ac:dyDescent="0.2">
      <c r="A228" s="19">
        <v>51077</v>
      </c>
      <c r="B228" t="s">
        <v>30</v>
      </c>
    </row>
    <row r="229" spans="1:2" x14ac:dyDescent="0.2">
      <c r="A229" s="19">
        <v>51097</v>
      </c>
      <c r="B229" t="s">
        <v>31</v>
      </c>
    </row>
    <row r="230" spans="1:2" x14ac:dyDescent="0.2">
      <c r="A230" s="19">
        <v>51136</v>
      </c>
      <c r="B230" t="s">
        <v>15</v>
      </c>
    </row>
    <row r="231" spans="1:2" x14ac:dyDescent="0.2">
      <c r="A231" s="19">
        <v>51137</v>
      </c>
      <c r="B231" t="s">
        <v>20</v>
      </c>
    </row>
    <row r="232" spans="1:2" x14ac:dyDescent="0.2">
      <c r="A232" s="19">
        <v>51144</v>
      </c>
      <c r="B232" t="s">
        <v>16</v>
      </c>
    </row>
    <row r="233" spans="1:2" x14ac:dyDescent="0.2">
      <c r="A233" s="19">
        <v>51177</v>
      </c>
      <c r="B233" t="s">
        <v>17</v>
      </c>
    </row>
    <row r="234" spans="1:2" x14ac:dyDescent="0.2">
      <c r="A234" s="19">
        <v>51189</v>
      </c>
      <c r="B234" t="s">
        <v>18</v>
      </c>
    </row>
    <row r="235" spans="1:2" x14ac:dyDescent="0.2">
      <c r="A235" s="19">
        <v>51215</v>
      </c>
      <c r="B235" t="s">
        <v>19</v>
      </c>
    </row>
    <row r="236" spans="1:2" x14ac:dyDescent="0.2">
      <c r="A236" s="19">
        <v>51255</v>
      </c>
      <c r="B236" t="s">
        <v>21</v>
      </c>
    </row>
    <row r="237" spans="1:2" x14ac:dyDescent="0.2">
      <c r="A237" s="19">
        <v>51256</v>
      </c>
      <c r="B237" t="s">
        <v>20</v>
      </c>
    </row>
    <row r="238" spans="1:2" x14ac:dyDescent="0.2">
      <c r="A238" s="19">
        <v>51259</v>
      </c>
      <c r="B238" t="s">
        <v>22</v>
      </c>
    </row>
    <row r="239" spans="1:2" x14ac:dyDescent="0.2">
      <c r="A239" s="19">
        <v>51260</v>
      </c>
      <c r="B239" t="s">
        <v>23</v>
      </c>
    </row>
    <row r="240" spans="1:2" x14ac:dyDescent="0.2">
      <c r="A240" s="19">
        <v>51261</v>
      </c>
      <c r="B240" t="s">
        <v>24</v>
      </c>
    </row>
    <row r="241" spans="1:2" x14ac:dyDescent="0.2">
      <c r="A241" s="19">
        <v>51333</v>
      </c>
      <c r="B241" t="s">
        <v>25</v>
      </c>
    </row>
    <row r="242" spans="1:2" x14ac:dyDescent="0.2">
      <c r="A242" s="19">
        <v>51359</v>
      </c>
      <c r="B242" t="s">
        <v>26</v>
      </c>
    </row>
    <row r="243" spans="1:2" x14ac:dyDescent="0.2">
      <c r="A243" s="19">
        <v>51396</v>
      </c>
      <c r="B243" t="s">
        <v>27</v>
      </c>
    </row>
    <row r="244" spans="1:2" x14ac:dyDescent="0.2">
      <c r="A244" s="19">
        <v>51401</v>
      </c>
      <c r="B244" t="s">
        <v>28</v>
      </c>
    </row>
    <row r="245" spans="1:2" x14ac:dyDescent="0.2">
      <c r="A245" s="19">
        <v>51417</v>
      </c>
      <c r="B245" t="s">
        <v>29</v>
      </c>
    </row>
    <row r="246" spans="1:2" x14ac:dyDescent="0.2">
      <c r="A246" s="19">
        <v>51443</v>
      </c>
      <c r="B246" t="s">
        <v>30</v>
      </c>
    </row>
    <row r="247" spans="1:2" x14ac:dyDescent="0.2">
      <c r="A247" s="19">
        <v>51463</v>
      </c>
      <c r="B247" t="s">
        <v>31</v>
      </c>
    </row>
    <row r="248" spans="1:2" x14ac:dyDescent="0.2">
      <c r="A248" s="19">
        <v>51502</v>
      </c>
      <c r="B248" t="s">
        <v>15</v>
      </c>
    </row>
    <row r="249" spans="1:2" x14ac:dyDescent="0.2">
      <c r="A249" s="19">
        <v>51515</v>
      </c>
      <c r="B249" t="s">
        <v>16</v>
      </c>
    </row>
    <row r="250" spans="1:2" x14ac:dyDescent="0.2">
      <c r="A250" s="19">
        <v>51543</v>
      </c>
      <c r="B250" t="s">
        <v>17</v>
      </c>
    </row>
    <row r="251" spans="1:2" x14ac:dyDescent="0.2">
      <c r="A251" s="19">
        <v>51555</v>
      </c>
      <c r="B251" t="s">
        <v>18</v>
      </c>
    </row>
    <row r="252" spans="1:2" x14ac:dyDescent="0.2">
      <c r="A252" s="19">
        <v>51580</v>
      </c>
      <c r="B252" t="s">
        <v>19</v>
      </c>
    </row>
    <row r="253" spans="1:2" x14ac:dyDescent="0.2">
      <c r="A253" s="19">
        <v>51620</v>
      </c>
      <c r="B253" t="s">
        <v>21</v>
      </c>
    </row>
    <row r="254" spans="1:2" x14ac:dyDescent="0.2">
      <c r="A254" s="19">
        <v>51624</v>
      </c>
      <c r="B254" t="s">
        <v>22</v>
      </c>
    </row>
    <row r="255" spans="1:2" x14ac:dyDescent="0.2">
      <c r="A255" s="19">
        <v>51625</v>
      </c>
      <c r="B255" t="s">
        <v>23</v>
      </c>
    </row>
    <row r="256" spans="1:2" x14ac:dyDescent="0.2">
      <c r="A256" s="19">
        <v>51626</v>
      </c>
      <c r="B256" t="s">
        <v>24</v>
      </c>
    </row>
    <row r="257" spans="1:2" x14ac:dyDescent="0.2">
      <c r="A257" s="19">
        <v>51627</v>
      </c>
      <c r="B257" t="s">
        <v>20</v>
      </c>
    </row>
    <row r="258" spans="1:2" x14ac:dyDescent="0.2">
      <c r="A258" s="19">
        <v>51697</v>
      </c>
      <c r="B258" t="s">
        <v>25</v>
      </c>
    </row>
    <row r="259" spans="1:2" x14ac:dyDescent="0.2">
      <c r="A259" s="19">
        <v>51724</v>
      </c>
      <c r="B259" t="s">
        <v>26</v>
      </c>
    </row>
    <row r="260" spans="1:2" x14ac:dyDescent="0.2">
      <c r="A260" s="19">
        <v>51725</v>
      </c>
      <c r="B260" t="s">
        <v>20</v>
      </c>
    </row>
    <row r="261" spans="1:2" x14ac:dyDescent="0.2">
      <c r="A261" s="19">
        <v>51760</v>
      </c>
      <c r="B261" t="s">
        <v>27</v>
      </c>
    </row>
    <row r="262" spans="1:2" x14ac:dyDescent="0.2">
      <c r="A262" s="19">
        <v>51767</v>
      </c>
      <c r="B262" t="s">
        <v>28</v>
      </c>
    </row>
    <row r="263" spans="1:2" x14ac:dyDescent="0.2">
      <c r="A263" s="19">
        <v>51788</v>
      </c>
      <c r="B263" t="s">
        <v>29</v>
      </c>
    </row>
    <row r="264" spans="1:2" x14ac:dyDescent="0.2">
      <c r="A264" s="19">
        <v>51808</v>
      </c>
      <c r="B264" t="s">
        <v>30</v>
      </c>
    </row>
    <row r="265" spans="1:2" x14ac:dyDescent="0.2">
      <c r="A265" s="19">
        <v>51809</v>
      </c>
      <c r="B265" t="s">
        <v>20</v>
      </c>
    </row>
    <row r="266" spans="1:2" x14ac:dyDescent="0.2">
      <c r="A266" s="19">
        <v>51828</v>
      </c>
      <c r="B266" t="s">
        <v>31</v>
      </c>
    </row>
    <row r="267" spans="1:2" x14ac:dyDescent="0.2">
      <c r="A267" s="19">
        <v>51867</v>
      </c>
      <c r="B267" t="s">
        <v>15</v>
      </c>
    </row>
    <row r="268" spans="1:2" x14ac:dyDescent="0.2">
      <c r="A268" s="19">
        <v>51879</v>
      </c>
      <c r="B268" t="s">
        <v>16</v>
      </c>
    </row>
    <row r="269" spans="1:2" x14ac:dyDescent="0.2">
      <c r="A269" s="19">
        <v>51908</v>
      </c>
      <c r="B269" t="s">
        <v>17</v>
      </c>
    </row>
    <row r="270" spans="1:2" x14ac:dyDescent="0.2">
      <c r="A270" s="19">
        <v>51920</v>
      </c>
      <c r="B270" t="s">
        <v>18</v>
      </c>
    </row>
    <row r="271" spans="1:2" x14ac:dyDescent="0.2">
      <c r="A271" s="19">
        <v>51921</v>
      </c>
      <c r="B271" t="s">
        <v>20</v>
      </c>
    </row>
    <row r="272" spans="1:2" x14ac:dyDescent="0.2">
      <c r="A272" s="19">
        <v>51945</v>
      </c>
      <c r="B272" t="s">
        <v>19</v>
      </c>
    </row>
    <row r="273" spans="1:2" x14ac:dyDescent="0.2">
      <c r="A273" s="19">
        <v>51985</v>
      </c>
      <c r="B273" t="s">
        <v>21</v>
      </c>
    </row>
    <row r="274" spans="1:2" x14ac:dyDescent="0.2">
      <c r="A274" s="19">
        <v>51989</v>
      </c>
      <c r="B274" t="s">
        <v>22</v>
      </c>
    </row>
    <row r="275" spans="1:2" x14ac:dyDescent="0.2">
      <c r="A275" s="19">
        <v>51990</v>
      </c>
      <c r="B275" t="s">
        <v>23</v>
      </c>
    </row>
    <row r="276" spans="1:2" x14ac:dyDescent="0.2">
      <c r="A276" s="19">
        <v>51991</v>
      </c>
      <c r="B276" t="s">
        <v>24</v>
      </c>
    </row>
    <row r="277" spans="1:2" x14ac:dyDescent="0.2">
      <c r="A277" s="19">
        <v>51992</v>
      </c>
      <c r="B277" t="s">
        <v>20</v>
      </c>
    </row>
    <row r="278" spans="1:2" x14ac:dyDescent="0.2">
      <c r="A278" s="19">
        <v>52068</v>
      </c>
      <c r="B278" t="s">
        <v>25</v>
      </c>
    </row>
    <row r="279" spans="1:2" x14ac:dyDescent="0.2">
      <c r="A279" s="19">
        <v>52089</v>
      </c>
      <c r="B279" t="s">
        <v>26</v>
      </c>
    </row>
    <row r="280" spans="1:2" x14ac:dyDescent="0.2">
      <c r="A280" s="19">
        <v>52124</v>
      </c>
      <c r="B280" t="s">
        <v>27</v>
      </c>
    </row>
    <row r="281" spans="1:2" x14ac:dyDescent="0.2">
      <c r="A281" s="19">
        <v>52132</v>
      </c>
      <c r="B281" t="s">
        <v>28</v>
      </c>
    </row>
    <row r="282" spans="1:2" x14ac:dyDescent="0.2">
      <c r="A282" s="19">
        <v>52152</v>
      </c>
      <c r="B282" t="s">
        <v>29</v>
      </c>
    </row>
    <row r="283" spans="1:2" x14ac:dyDescent="0.2">
      <c r="A283" s="19">
        <v>52173</v>
      </c>
      <c r="B283" t="s">
        <v>30</v>
      </c>
    </row>
    <row r="284" spans="1:2" x14ac:dyDescent="0.2">
      <c r="A284" s="19">
        <v>52193</v>
      </c>
      <c r="B284" t="s">
        <v>31</v>
      </c>
    </row>
    <row r="285" spans="1:2" x14ac:dyDescent="0.2">
      <c r="A285" s="19">
        <v>52194</v>
      </c>
      <c r="B285" t="s">
        <v>20</v>
      </c>
    </row>
    <row r="286" spans="1:2" x14ac:dyDescent="0.2">
      <c r="A286" s="19">
        <v>52232</v>
      </c>
      <c r="B286" t="s">
        <v>15</v>
      </c>
    </row>
    <row r="287" spans="1:2" x14ac:dyDescent="0.2">
      <c r="A287" s="19">
        <v>52243</v>
      </c>
      <c r="B287" t="s">
        <v>16</v>
      </c>
    </row>
    <row r="288" spans="1:2" x14ac:dyDescent="0.2">
      <c r="A288" s="19">
        <v>52273</v>
      </c>
      <c r="B288" t="s">
        <v>17</v>
      </c>
    </row>
    <row r="289" spans="1:2" x14ac:dyDescent="0.2">
      <c r="A289" s="19">
        <v>52285</v>
      </c>
      <c r="B289" t="s">
        <v>18</v>
      </c>
    </row>
    <row r="290" spans="1:2" x14ac:dyDescent="0.2">
      <c r="A290" s="19">
        <v>52311</v>
      </c>
      <c r="B290" t="s">
        <v>19</v>
      </c>
    </row>
    <row r="291" spans="1:2" x14ac:dyDescent="0.2">
      <c r="A291" s="19">
        <v>52350</v>
      </c>
      <c r="B291" t="s">
        <v>21</v>
      </c>
    </row>
    <row r="292" spans="1:2" x14ac:dyDescent="0.2">
      <c r="A292" s="19">
        <v>52354</v>
      </c>
      <c r="B292" t="s">
        <v>22</v>
      </c>
    </row>
    <row r="293" spans="1:2" x14ac:dyDescent="0.2">
      <c r="A293" s="19">
        <v>52355</v>
      </c>
      <c r="B293" t="s">
        <v>23</v>
      </c>
    </row>
    <row r="294" spans="1:2" x14ac:dyDescent="0.2">
      <c r="A294" s="19">
        <v>52356</v>
      </c>
      <c r="B294" t="s">
        <v>24</v>
      </c>
    </row>
    <row r="295" spans="1:2" x14ac:dyDescent="0.2">
      <c r="A295" s="19">
        <v>52357</v>
      </c>
      <c r="B295" t="s">
        <v>20</v>
      </c>
    </row>
    <row r="296" spans="1:2" x14ac:dyDescent="0.2">
      <c r="A296" s="19">
        <v>52432</v>
      </c>
      <c r="B296" t="s">
        <v>25</v>
      </c>
    </row>
    <row r="297" spans="1:2" x14ac:dyDescent="0.2">
      <c r="A297" s="19">
        <v>52454</v>
      </c>
      <c r="B297" t="s">
        <v>26</v>
      </c>
    </row>
    <row r="298" spans="1:2" x14ac:dyDescent="0.2">
      <c r="A298" s="19">
        <v>52495</v>
      </c>
      <c r="B298" t="s">
        <v>27</v>
      </c>
    </row>
    <row r="299" spans="1:2" x14ac:dyDescent="0.2">
      <c r="A299" s="19">
        <v>52496</v>
      </c>
      <c r="B299" t="s">
        <v>32</v>
      </c>
    </row>
    <row r="300" spans="1:2" x14ac:dyDescent="0.2">
      <c r="A300" s="19">
        <v>52497</v>
      </c>
      <c r="B300" t="s">
        <v>28</v>
      </c>
    </row>
    <row r="301" spans="1:2" x14ac:dyDescent="0.2">
      <c r="A301" s="19">
        <v>52516</v>
      </c>
      <c r="B301" t="s">
        <v>29</v>
      </c>
    </row>
    <row r="302" spans="1:2" x14ac:dyDescent="0.2">
      <c r="A302" s="19">
        <v>52538</v>
      </c>
      <c r="B302" t="s">
        <v>30</v>
      </c>
    </row>
    <row r="303" spans="1:2" x14ac:dyDescent="0.2">
      <c r="A303" s="19">
        <v>52558</v>
      </c>
      <c r="B303" t="s">
        <v>31</v>
      </c>
    </row>
    <row r="304" spans="1:2" x14ac:dyDescent="0.2">
      <c r="A304" s="19">
        <v>52597</v>
      </c>
      <c r="B304" t="s">
        <v>15</v>
      </c>
    </row>
    <row r="305" spans="1:2" x14ac:dyDescent="0.2">
      <c r="A305" s="19">
        <v>52607</v>
      </c>
      <c r="B305" t="s">
        <v>16</v>
      </c>
    </row>
    <row r="306" spans="1:2" x14ac:dyDescent="0.2">
      <c r="A306" s="19">
        <v>52638</v>
      </c>
      <c r="B306" t="s">
        <v>17</v>
      </c>
    </row>
    <row r="307" spans="1:2" x14ac:dyDescent="0.2">
      <c r="A307" s="19">
        <v>52650</v>
      </c>
      <c r="B307" t="s">
        <v>18</v>
      </c>
    </row>
    <row r="308" spans="1:2" x14ac:dyDescent="0.2">
      <c r="A308" s="19">
        <v>52676</v>
      </c>
      <c r="B308" t="s">
        <v>19</v>
      </c>
    </row>
    <row r="309" spans="1:2" x14ac:dyDescent="0.2">
      <c r="A309" s="19">
        <v>52677</v>
      </c>
      <c r="B309" t="s">
        <v>20</v>
      </c>
    </row>
    <row r="310" spans="1:2" x14ac:dyDescent="0.2">
      <c r="A310" s="19">
        <v>52716</v>
      </c>
      <c r="B310" t="s">
        <v>21</v>
      </c>
    </row>
    <row r="311" spans="1:2" x14ac:dyDescent="0.2">
      <c r="A311" s="19">
        <v>52720</v>
      </c>
      <c r="B311" t="s">
        <v>22</v>
      </c>
    </row>
    <row r="312" spans="1:2" x14ac:dyDescent="0.2">
      <c r="A312" s="19">
        <v>52721</v>
      </c>
      <c r="B312" t="s">
        <v>23</v>
      </c>
    </row>
    <row r="313" spans="1:2" x14ac:dyDescent="0.2">
      <c r="A313" s="19">
        <v>52722</v>
      </c>
      <c r="B313" t="s">
        <v>24</v>
      </c>
    </row>
    <row r="314" spans="1:2" x14ac:dyDescent="0.2">
      <c r="A314" s="19">
        <v>52796</v>
      </c>
      <c r="B314" t="s">
        <v>25</v>
      </c>
    </row>
    <row r="315" spans="1:2" x14ac:dyDescent="0.2">
      <c r="A315" s="19">
        <v>52820</v>
      </c>
      <c r="B315" t="s">
        <v>26</v>
      </c>
    </row>
    <row r="316" spans="1:2" x14ac:dyDescent="0.2">
      <c r="A316" s="19">
        <v>52859</v>
      </c>
      <c r="B316" t="s">
        <v>27</v>
      </c>
    </row>
    <row r="317" spans="1:2" x14ac:dyDescent="0.2">
      <c r="A317" s="19">
        <v>52862</v>
      </c>
      <c r="B317" t="s">
        <v>28</v>
      </c>
    </row>
    <row r="318" spans="1:2" x14ac:dyDescent="0.2">
      <c r="A318" s="19">
        <v>52880</v>
      </c>
      <c r="B318" t="s">
        <v>29</v>
      </c>
    </row>
    <row r="319" spans="1:2" x14ac:dyDescent="0.2">
      <c r="A319" s="19">
        <v>52904</v>
      </c>
      <c r="B319" t="s">
        <v>30</v>
      </c>
    </row>
    <row r="320" spans="1:2" x14ac:dyDescent="0.2">
      <c r="A320" s="19">
        <v>52924</v>
      </c>
      <c r="B320" t="s">
        <v>31</v>
      </c>
    </row>
    <row r="321" spans="1:2" x14ac:dyDescent="0.2">
      <c r="A321" s="19">
        <v>52963</v>
      </c>
      <c r="B321" t="s">
        <v>15</v>
      </c>
    </row>
    <row r="322" spans="1:2" x14ac:dyDescent="0.2">
      <c r="A322" s="19">
        <v>52964</v>
      </c>
      <c r="B322" t="s">
        <v>20</v>
      </c>
    </row>
    <row r="323" spans="1:2" x14ac:dyDescent="0.2">
      <c r="A323" s="19">
        <v>52971</v>
      </c>
      <c r="B323" t="s">
        <v>16</v>
      </c>
    </row>
    <row r="324" spans="1:2" x14ac:dyDescent="0.2">
      <c r="A324" s="19">
        <v>53004</v>
      </c>
      <c r="B324" t="s">
        <v>17</v>
      </c>
    </row>
    <row r="325" spans="1:2" x14ac:dyDescent="0.2">
      <c r="A325" s="19">
        <v>53016</v>
      </c>
      <c r="B325" t="s">
        <v>18</v>
      </c>
    </row>
    <row r="326" spans="1:2" x14ac:dyDescent="0.2">
      <c r="A326" s="19">
        <v>53041</v>
      </c>
      <c r="B326" t="s">
        <v>19</v>
      </c>
    </row>
    <row r="327" spans="1:2" x14ac:dyDescent="0.2">
      <c r="A327" s="19">
        <v>53081</v>
      </c>
      <c r="B327" t="s">
        <v>21</v>
      </c>
    </row>
    <row r="328" spans="1:2" x14ac:dyDescent="0.2">
      <c r="A328" s="19">
        <v>53085</v>
      </c>
      <c r="B328" t="s">
        <v>22</v>
      </c>
    </row>
    <row r="329" spans="1:2" x14ac:dyDescent="0.2">
      <c r="A329" s="19">
        <v>53086</v>
      </c>
      <c r="B329" t="s">
        <v>23</v>
      </c>
    </row>
    <row r="330" spans="1:2" x14ac:dyDescent="0.2">
      <c r="A330" s="19">
        <v>53087</v>
      </c>
      <c r="B330" t="s">
        <v>24</v>
      </c>
    </row>
    <row r="331" spans="1:2" x14ac:dyDescent="0.2">
      <c r="A331" s="19">
        <v>53160</v>
      </c>
      <c r="B331" t="s">
        <v>25</v>
      </c>
    </row>
    <row r="332" spans="1:2" x14ac:dyDescent="0.2">
      <c r="A332" s="19">
        <v>53185</v>
      </c>
      <c r="B332" t="s">
        <v>26</v>
      </c>
    </row>
    <row r="333" spans="1:2" x14ac:dyDescent="0.2">
      <c r="A333" s="19">
        <v>53223</v>
      </c>
      <c r="B333" t="s">
        <v>27</v>
      </c>
    </row>
    <row r="334" spans="1:2" x14ac:dyDescent="0.2">
      <c r="A334" s="19">
        <v>53227</v>
      </c>
      <c r="B334" t="s">
        <v>28</v>
      </c>
    </row>
    <row r="335" spans="1:2" x14ac:dyDescent="0.2">
      <c r="A335" s="19">
        <v>53244</v>
      </c>
      <c r="B335" t="s">
        <v>29</v>
      </c>
    </row>
    <row r="336" spans="1:2" x14ac:dyDescent="0.2">
      <c r="A336" s="19">
        <v>53269</v>
      </c>
      <c r="B336" t="s">
        <v>30</v>
      </c>
    </row>
    <row r="337" spans="1:2" x14ac:dyDescent="0.2">
      <c r="A337" s="19">
        <v>53289</v>
      </c>
      <c r="B337" t="s">
        <v>31</v>
      </c>
    </row>
    <row r="338" spans="1:2" x14ac:dyDescent="0.2">
      <c r="A338" s="19">
        <v>53328</v>
      </c>
      <c r="B338" t="s">
        <v>15</v>
      </c>
    </row>
    <row r="339" spans="1:2" x14ac:dyDescent="0.2">
      <c r="A339" s="19">
        <v>53335</v>
      </c>
      <c r="B339" t="s">
        <v>16</v>
      </c>
    </row>
    <row r="340" spans="1:2" x14ac:dyDescent="0.2">
      <c r="A340" s="19">
        <v>53369</v>
      </c>
      <c r="B340" t="s">
        <v>17</v>
      </c>
    </row>
    <row r="341" spans="1:2" x14ac:dyDescent="0.2">
      <c r="A341" s="19">
        <v>53370</v>
      </c>
      <c r="B341" t="s">
        <v>20</v>
      </c>
    </row>
    <row r="342" spans="1:2" x14ac:dyDescent="0.2">
      <c r="A342" s="19">
        <v>53381</v>
      </c>
      <c r="B342" t="s">
        <v>18</v>
      </c>
    </row>
    <row r="343" spans="1:2" x14ac:dyDescent="0.2">
      <c r="A343" s="19">
        <v>53406</v>
      </c>
      <c r="B343" t="s">
        <v>19</v>
      </c>
    </row>
    <row r="344" spans="1:2" x14ac:dyDescent="0.2">
      <c r="A344" s="19">
        <v>53446</v>
      </c>
      <c r="B344" t="s">
        <v>21</v>
      </c>
    </row>
    <row r="345" spans="1:2" x14ac:dyDescent="0.2">
      <c r="A345" s="19">
        <v>53447</v>
      </c>
      <c r="B345" t="s">
        <v>20</v>
      </c>
    </row>
    <row r="346" spans="1:2" x14ac:dyDescent="0.2">
      <c r="A346" s="19">
        <v>53450</v>
      </c>
      <c r="B346" t="s">
        <v>22</v>
      </c>
    </row>
    <row r="347" spans="1:2" x14ac:dyDescent="0.2">
      <c r="A347" s="19">
        <v>53451</v>
      </c>
      <c r="B347" t="s">
        <v>23</v>
      </c>
    </row>
    <row r="348" spans="1:2" x14ac:dyDescent="0.2">
      <c r="A348" s="19">
        <v>53452</v>
      </c>
      <c r="B348" t="s">
        <v>24</v>
      </c>
    </row>
    <row r="349" spans="1:2" x14ac:dyDescent="0.2">
      <c r="A349" s="19">
        <v>53524</v>
      </c>
      <c r="B349" t="s">
        <v>25</v>
      </c>
    </row>
    <row r="350" spans="1:2" x14ac:dyDescent="0.2">
      <c r="A350" s="19">
        <v>53550</v>
      </c>
      <c r="B350" t="s">
        <v>26</v>
      </c>
    </row>
    <row r="351" spans="1:2" x14ac:dyDescent="0.2">
      <c r="A351" s="19">
        <v>53587</v>
      </c>
      <c r="B351" t="s">
        <v>27</v>
      </c>
    </row>
    <row r="352" spans="1:2" x14ac:dyDescent="0.2">
      <c r="A352" s="19">
        <v>53593</v>
      </c>
      <c r="B352" t="s">
        <v>28</v>
      </c>
    </row>
    <row r="353" spans="1:2" x14ac:dyDescent="0.2">
      <c r="A353" s="19">
        <v>53594</v>
      </c>
      <c r="B353" t="s">
        <v>20</v>
      </c>
    </row>
    <row r="354" spans="1:2" x14ac:dyDescent="0.2">
      <c r="A354" s="19">
        <v>53608</v>
      </c>
      <c r="B354" t="s">
        <v>29</v>
      </c>
    </row>
    <row r="355" spans="1:2" x14ac:dyDescent="0.2">
      <c r="A355" s="19">
        <v>53634</v>
      </c>
      <c r="B355" t="s">
        <v>30</v>
      </c>
    </row>
    <row r="356" spans="1:2" x14ac:dyDescent="0.2">
      <c r="A356" s="19">
        <v>53654</v>
      </c>
      <c r="B356" t="s">
        <v>31</v>
      </c>
    </row>
    <row r="357" spans="1:2" x14ac:dyDescent="0.2">
      <c r="A357" s="19">
        <v>53693</v>
      </c>
      <c r="B357" t="s">
        <v>15</v>
      </c>
    </row>
    <row r="358" spans="1:2" x14ac:dyDescent="0.2">
      <c r="A358" s="19">
        <v>53706</v>
      </c>
      <c r="B358" t="s">
        <v>16</v>
      </c>
    </row>
    <row r="359" spans="1:2" x14ac:dyDescent="0.2">
      <c r="A359" s="19">
        <v>53734</v>
      </c>
      <c r="B359" t="s">
        <v>17</v>
      </c>
    </row>
    <row r="360" spans="1:2" x14ac:dyDescent="0.2">
      <c r="A360" s="19">
        <v>53746</v>
      </c>
      <c r="B360" t="s">
        <v>18</v>
      </c>
    </row>
    <row r="361" spans="1:2" x14ac:dyDescent="0.2">
      <c r="A361" s="19">
        <v>53772</v>
      </c>
      <c r="B361" t="s">
        <v>19</v>
      </c>
    </row>
    <row r="362" spans="1:2" x14ac:dyDescent="0.2">
      <c r="A362" s="19">
        <v>53811</v>
      </c>
      <c r="B362" t="s">
        <v>21</v>
      </c>
    </row>
    <row r="363" spans="1:2" x14ac:dyDescent="0.2">
      <c r="A363" s="19">
        <v>53815</v>
      </c>
      <c r="B363" t="s">
        <v>22</v>
      </c>
    </row>
    <row r="364" spans="1:2" x14ac:dyDescent="0.2">
      <c r="A364" s="19">
        <v>53816</v>
      </c>
      <c r="B364" t="s">
        <v>23</v>
      </c>
    </row>
    <row r="365" spans="1:2" x14ac:dyDescent="0.2">
      <c r="A365" s="19">
        <v>53817</v>
      </c>
      <c r="B365" t="s">
        <v>24</v>
      </c>
    </row>
    <row r="366" spans="1:2" x14ac:dyDescent="0.2">
      <c r="A366" s="19">
        <v>53818</v>
      </c>
      <c r="B366" t="s">
        <v>20</v>
      </c>
    </row>
    <row r="367" spans="1:2" x14ac:dyDescent="0.2">
      <c r="A367" s="19">
        <v>53888</v>
      </c>
      <c r="B367" t="s">
        <v>25</v>
      </c>
    </row>
    <row r="368" spans="1:2" x14ac:dyDescent="0.2">
      <c r="A368" s="19">
        <v>53915</v>
      </c>
      <c r="B368" t="s">
        <v>26</v>
      </c>
    </row>
    <row r="369" spans="1:2" x14ac:dyDescent="0.2">
      <c r="A369" s="19">
        <v>53916</v>
      </c>
      <c r="B369" t="s">
        <v>20</v>
      </c>
    </row>
    <row r="370" spans="1:2" x14ac:dyDescent="0.2">
      <c r="A370" s="19">
        <v>53951</v>
      </c>
      <c r="B370" t="s">
        <v>27</v>
      </c>
    </row>
    <row r="371" spans="1:2" x14ac:dyDescent="0.2">
      <c r="A371" s="19">
        <v>53958</v>
      </c>
      <c r="B371" t="s">
        <v>28</v>
      </c>
    </row>
    <row r="372" spans="1:2" x14ac:dyDescent="0.2">
      <c r="A372" s="19">
        <v>53979</v>
      </c>
      <c r="B372" t="s">
        <v>29</v>
      </c>
    </row>
    <row r="373" spans="1:2" x14ac:dyDescent="0.2">
      <c r="A373" s="19">
        <v>53999</v>
      </c>
      <c r="B373" t="s">
        <v>30</v>
      </c>
    </row>
    <row r="374" spans="1:2" x14ac:dyDescent="0.2">
      <c r="A374" s="19">
        <v>54000</v>
      </c>
      <c r="B374" t="s">
        <v>20</v>
      </c>
    </row>
    <row r="375" spans="1:2" x14ac:dyDescent="0.2">
      <c r="A375" s="19">
        <v>54019</v>
      </c>
      <c r="B375" t="s">
        <v>31</v>
      </c>
    </row>
    <row r="376" spans="1:2" x14ac:dyDescent="0.2">
      <c r="A376" s="19">
        <v>54058</v>
      </c>
      <c r="B376" t="s">
        <v>15</v>
      </c>
    </row>
    <row r="377" spans="1:2" x14ac:dyDescent="0.2">
      <c r="A377" s="19">
        <v>54070</v>
      </c>
      <c r="B377" t="s">
        <v>16</v>
      </c>
    </row>
    <row r="378" spans="1:2" x14ac:dyDescent="0.2">
      <c r="A378" s="19">
        <v>54099</v>
      </c>
      <c r="B378" t="s">
        <v>17</v>
      </c>
    </row>
    <row r="379" spans="1:2" x14ac:dyDescent="0.2">
      <c r="A379" s="19">
        <v>54111</v>
      </c>
      <c r="B379" t="s">
        <v>18</v>
      </c>
    </row>
    <row r="380" spans="1:2" x14ac:dyDescent="0.2">
      <c r="A380" s="19">
        <v>54112</v>
      </c>
      <c r="B380" t="s">
        <v>20</v>
      </c>
    </row>
    <row r="381" spans="1:2" x14ac:dyDescent="0.2">
      <c r="A381" s="19">
        <v>54137</v>
      </c>
      <c r="B381" t="s">
        <v>19</v>
      </c>
    </row>
    <row r="382" spans="1:2" x14ac:dyDescent="0.2">
      <c r="A382" s="19">
        <v>54177</v>
      </c>
      <c r="B382" t="s">
        <v>21</v>
      </c>
    </row>
    <row r="383" spans="1:2" x14ac:dyDescent="0.2">
      <c r="A383" s="19">
        <v>54181</v>
      </c>
      <c r="B383" t="s">
        <v>22</v>
      </c>
    </row>
    <row r="384" spans="1:2" x14ac:dyDescent="0.2">
      <c r="A384" s="19">
        <v>54182</v>
      </c>
      <c r="B384" t="s">
        <v>23</v>
      </c>
    </row>
    <row r="385" spans="1:2" x14ac:dyDescent="0.2">
      <c r="A385" s="19">
        <v>54183</v>
      </c>
      <c r="B385" t="s">
        <v>24</v>
      </c>
    </row>
    <row r="386" spans="1:2" x14ac:dyDescent="0.2">
      <c r="A386" s="19">
        <v>54184</v>
      </c>
      <c r="B386" t="s">
        <v>20</v>
      </c>
    </row>
    <row r="387" spans="1:2" x14ac:dyDescent="0.2">
      <c r="A387" s="19">
        <v>54259</v>
      </c>
      <c r="B387" t="s">
        <v>25</v>
      </c>
    </row>
    <row r="388" spans="1:2" x14ac:dyDescent="0.2">
      <c r="A388" s="19">
        <v>54281</v>
      </c>
      <c r="B388" t="s">
        <v>26</v>
      </c>
    </row>
    <row r="389" spans="1:2" x14ac:dyDescent="0.2">
      <c r="A389" s="19">
        <v>54322</v>
      </c>
      <c r="B389" t="s">
        <v>27</v>
      </c>
    </row>
    <row r="390" spans="1:2" x14ac:dyDescent="0.2">
      <c r="A390" s="19">
        <v>54323</v>
      </c>
      <c r="B390" t="s">
        <v>28</v>
      </c>
    </row>
    <row r="391" spans="1:2" x14ac:dyDescent="0.2">
      <c r="A391" s="19">
        <v>54343</v>
      </c>
      <c r="B391" t="s">
        <v>29</v>
      </c>
    </row>
    <row r="392" spans="1:2" x14ac:dyDescent="0.2">
      <c r="A392" s="19">
        <v>54365</v>
      </c>
      <c r="B392" t="s">
        <v>30</v>
      </c>
    </row>
    <row r="393" spans="1:2" x14ac:dyDescent="0.2">
      <c r="A393" s="19">
        <v>54385</v>
      </c>
      <c r="B393" t="s">
        <v>31</v>
      </c>
    </row>
    <row r="394" spans="1:2" x14ac:dyDescent="0.2">
      <c r="A394" s="19">
        <v>54424</v>
      </c>
      <c r="B394" t="s">
        <v>15</v>
      </c>
    </row>
    <row r="395" spans="1:2" x14ac:dyDescent="0.2">
      <c r="A395" s="19">
        <v>54434</v>
      </c>
      <c r="B395" t="s">
        <v>16</v>
      </c>
    </row>
    <row r="396" spans="1:2" x14ac:dyDescent="0.2">
      <c r="A396" s="19">
        <v>54465</v>
      </c>
      <c r="B396" t="s">
        <v>17</v>
      </c>
    </row>
    <row r="397" spans="1:2" x14ac:dyDescent="0.2">
      <c r="A397" s="19">
        <v>54477</v>
      </c>
      <c r="B397" t="s">
        <v>18</v>
      </c>
    </row>
    <row r="398" spans="1:2" x14ac:dyDescent="0.2">
      <c r="A398" s="19">
        <v>54502</v>
      </c>
      <c r="B398" t="s">
        <v>19</v>
      </c>
    </row>
    <row r="399" spans="1:2" x14ac:dyDescent="0.2">
      <c r="A399" s="19">
        <v>54542</v>
      </c>
      <c r="B399" t="s">
        <v>21</v>
      </c>
    </row>
    <row r="400" spans="1:2" x14ac:dyDescent="0.2">
      <c r="A400" s="19">
        <v>54546</v>
      </c>
      <c r="B400" t="s">
        <v>22</v>
      </c>
    </row>
    <row r="401" spans="1:2" x14ac:dyDescent="0.2">
      <c r="A401" s="19">
        <v>54547</v>
      </c>
      <c r="B401" t="s">
        <v>23</v>
      </c>
    </row>
    <row r="402" spans="1:2" x14ac:dyDescent="0.2">
      <c r="A402" s="19">
        <v>54548</v>
      </c>
      <c r="B402" t="s">
        <v>24</v>
      </c>
    </row>
    <row r="403" spans="1:2" x14ac:dyDescent="0.2">
      <c r="A403" s="19">
        <v>54623</v>
      </c>
      <c r="B403" t="s">
        <v>25</v>
      </c>
    </row>
    <row r="404" spans="1:2" x14ac:dyDescent="0.2">
      <c r="A404" s="19">
        <v>54646</v>
      </c>
      <c r="B404" t="s">
        <v>26</v>
      </c>
    </row>
    <row r="405" spans="1:2" x14ac:dyDescent="0.2">
      <c r="A405" s="19">
        <v>54686</v>
      </c>
      <c r="B405" t="s">
        <v>27</v>
      </c>
    </row>
    <row r="406" spans="1:2" x14ac:dyDescent="0.2">
      <c r="A406" s="19">
        <v>54687</v>
      </c>
      <c r="B406" t="s">
        <v>32</v>
      </c>
    </row>
    <row r="407" spans="1:2" x14ac:dyDescent="0.2">
      <c r="A407" s="19">
        <v>54688</v>
      </c>
      <c r="B407" t="s">
        <v>28</v>
      </c>
    </row>
    <row r="408" spans="1:2" x14ac:dyDescent="0.2">
      <c r="A408" s="19">
        <v>54707</v>
      </c>
      <c r="B408" t="s">
        <v>29</v>
      </c>
    </row>
    <row r="409" spans="1:2" x14ac:dyDescent="0.2">
      <c r="A409" s="19">
        <v>54730</v>
      </c>
      <c r="B409" t="s">
        <v>30</v>
      </c>
    </row>
    <row r="410" spans="1:2" x14ac:dyDescent="0.2">
      <c r="A410" s="19">
        <v>54750</v>
      </c>
      <c r="B410" t="s">
        <v>31</v>
      </c>
    </row>
    <row r="411" spans="1:2" x14ac:dyDescent="0.2">
      <c r="A411" s="19">
        <v>54789</v>
      </c>
      <c r="B411" t="s">
        <v>15</v>
      </c>
    </row>
    <row r="412" spans="1:2" x14ac:dyDescent="0.2">
      <c r="A412" s="19">
        <v>54798</v>
      </c>
      <c r="B412" t="s">
        <v>16</v>
      </c>
    </row>
    <row r="413" spans="1:2" x14ac:dyDescent="0.2">
      <c r="A413" s="19">
        <v>54830</v>
      </c>
      <c r="B413" t="s">
        <v>17</v>
      </c>
    </row>
    <row r="414" spans="1:2" x14ac:dyDescent="0.2">
      <c r="A414" s="19">
        <v>54842</v>
      </c>
      <c r="B414" t="s">
        <v>18</v>
      </c>
    </row>
    <row r="415" spans="1:2" x14ac:dyDescent="0.2">
      <c r="A415" s="19">
        <v>54867</v>
      </c>
      <c r="B415" t="s">
        <v>19</v>
      </c>
    </row>
    <row r="416" spans="1:2" x14ac:dyDescent="0.2">
      <c r="A416" s="19">
        <v>54868</v>
      </c>
      <c r="B416" t="s">
        <v>20</v>
      </c>
    </row>
    <row r="417" spans="1:2" x14ac:dyDescent="0.2">
      <c r="A417" s="19">
        <v>54907</v>
      </c>
      <c r="B417" t="s">
        <v>21</v>
      </c>
    </row>
    <row r="418" spans="1:2" x14ac:dyDescent="0.2">
      <c r="A418" s="19">
        <v>54911</v>
      </c>
      <c r="B418" t="s">
        <v>22</v>
      </c>
    </row>
    <row r="419" spans="1:2" x14ac:dyDescent="0.2">
      <c r="A419" s="19">
        <v>54912</v>
      </c>
      <c r="B419" t="s">
        <v>23</v>
      </c>
    </row>
    <row r="420" spans="1:2" x14ac:dyDescent="0.2">
      <c r="A420" s="19">
        <v>54913</v>
      </c>
      <c r="B420" t="s">
        <v>24</v>
      </c>
    </row>
    <row r="421" spans="1:2" x14ac:dyDescent="0.2">
      <c r="A421" s="19">
        <v>54987</v>
      </c>
      <c r="B421" t="s">
        <v>25</v>
      </c>
    </row>
    <row r="422" spans="1:2" x14ac:dyDescent="0.2">
      <c r="A422" s="19">
        <v>55011</v>
      </c>
      <c r="B422" t="s">
        <v>26</v>
      </c>
    </row>
    <row r="423" spans="1:2" x14ac:dyDescent="0.2">
      <c r="A423" s="19">
        <v>55050</v>
      </c>
      <c r="B423" t="s">
        <v>27</v>
      </c>
    </row>
    <row r="424" spans="1:2" x14ac:dyDescent="0.2">
      <c r="A424" s="19">
        <v>55054</v>
      </c>
      <c r="B424" t="s">
        <v>28</v>
      </c>
    </row>
    <row r="425" spans="1:2" x14ac:dyDescent="0.2">
      <c r="A425" s="19">
        <v>55071</v>
      </c>
      <c r="B425" t="s">
        <v>29</v>
      </c>
    </row>
    <row r="426" spans="1:2" x14ac:dyDescent="0.2">
      <c r="A426" s="19">
        <v>55095</v>
      </c>
      <c r="B426" t="s">
        <v>30</v>
      </c>
    </row>
    <row r="427" spans="1:2" x14ac:dyDescent="0.2">
      <c r="A427" s="19">
        <v>55115</v>
      </c>
      <c r="B427" t="s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令和9年度</vt:lpstr>
      <vt:lpstr>祝日マスター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はむにゃん</dc:creator>
  <cp:lastModifiedBy>にゃん はむ</cp:lastModifiedBy>
  <cp:lastPrinted>2026-07-15T07:40:50Z</cp:lastPrinted>
  <dcterms:created xsi:type="dcterms:W3CDTF">2026-07-12T05:41:59Z</dcterms:created>
  <dcterms:modified xsi:type="dcterms:W3CDTF">2026-10-01T00:13:56Z</dcterms:modified>
</cp:coreProperties>
</file>